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120" yWindow="150" windowWidth="9315" windowHeight="12465"/>
  </bookViews>
  <sheets>
    <sheet name="X-ray attenuation length" sheetId="2" r:id="rId1"/>
  </sheets>
  <calcPr calcId="145621"/>
</workbook>
</file>

<file path=xl/calcChain.xml><?xml version="1.0" encoding="utf-8"?>
<calcChain xmlns="http://schemas.openxmlformats.org/spreadsheetml/2006/main">
  <c r="I79" i="2" l="1"/>
  <c r="J78" i="2"/>
  <c r="I78" i="2"/>
  <c r="I77" i="2"/>
  <c r="J77" i="2"/>
  <c r="I76" i="2"/>
  <c r="J76" i="2"/>
  <c r="I75" i="2"/>
  <c r="J75" i="2"/>
  <c r="I74" i="2"/>
  <c r="J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J73" i="2"/>
  <c r="J72" i="2"/>
  <c r="J71" i="2"/>
  <c r="J70" i="2"/>
  <c r="I69" i="2"/>
  <c r="J69" i="2"/>
  <c r="I68" i="2"/>
  <c r="J68" i="2"/>
  <c r="I66" i="2"/>
  <c r="J66" i="2"/>
  <c r="I62" i="2"/>
  <c r="J62" i="2"/>
  <c r="I61" i="2"/>
  <c r="J61" i="2"/>
  <c r="I60" i="2"/>
  <c r="J60" i="2"/>
  <c r="I59" i="2"/>
  <c r="J59" i="2"/>
  <c r="I73" i="2" l="1"/>
  <c r="I70" i="2"/>
  <c r="I71" i="2"/>
  <c r="I72" i="2"/>
  <c r="I56" i="2"/>
  <c r="J56" i="2"/>
  <c r="I55" i="2"/>
  <c r="J55" i="2"/>
  <c r="I54" i="2"/>
  <c r="J54" i="2"/>
  <c r="I53" i="2"/>
  <c r="J53" i="2"/>
  <c r="I52" i="2"/>
  <c r="J52" i="2"/>
  <c r="I51" i="2"/>
  <c r="J51" i="2"/>
  <c r="B38" i="2"/>
  <c r="A38" i="2"/>
  <c r="J38" i="2"/>
  <c r="I36" i="2"/>
  <c r="J36" i="2"/>
  <c r="I33" i="2"/>
  <c r="J33" i="2"/>
  <c r="I26" i="2"/>
  <c r="J26" i="2"/>
  <c r="I25" i="2"/>
  <c r="J25" i="2"/>
  <c r="I24" i="2"/>
  <c r="J24" i="2"/>
  <c r="I22" i="2"/>
  <c r="J22" i="2"/>
  <c r="I21" i="2"/>
  <c r="J21" i="2"/>
  <c r="I20" i="2"/>
  <c r="J20" i="2"/>
  <c r="I19" i="2"/>
  <c r="I23" i="2"/>
  <c r="J19" i="2"/>
  <c r="I18" i="2"/>
  <c r="J18" i="2"/>
  <c r="J23" i="2"/>
  <c r="J17" i="2"/>
  <c r="J16" i="2"/>
  <c r="I17" i="2"/>
  <c r="I16" i="2"/>
  <c r="I67" i="2"/>
  <c r="J67" i="2"/>
  <c r="I38" i="2" l="1"/>
  <c r="J79" i="2"/>
  <c r="J65" i="2"/>
  <c r="I65" i="2"/>
  <c r="I63" i="2"/>
  <c r="J63" i="2"/>
  <c r="I50" i="2"/>
  <c r="J50" i="2"/>
  <c r="I48" i="2"/>
  <c r="I47" i="2"/>
  <c r="J48" i="2"/>
  <c r="B43" i="2"/>
  <c r="A43" i="2"/>
  <c r="I43" i="2" s="1"/>
  <c r="J43" i="2"/>
  <c r="B42" i="2"/>
  <c r="A42" i="2"/>
  <c r="J42" i="2"/>
  <c r="B41" i="2"/>
  <c r="A41" i="2"/>
  <c r="J64" i="2"/>
  <c r="J57" i="2"/>
  <c r="J49" i="2"/>
  <c r="J47" i="2"/>
  <c r="J46" i="2"/>
  <c r="J45" i="2"/>
  <c r="J44" i="2"/>
  <c r="J41" i="2"/>
  <c r="J39" i="2"/>
  <c r="J37" i="2"/>
  <c r="J35" i="2"/>
  <c r="J34" i="2"/>
  <c r="J32" i="2"/>
  <c r="J31" i="2"/>
  <c r="J30" i="2"/>
  <c r="J29" i="2"/>
  <c r="J28" i="2"/>
  <c r="J27" i="2"/>
  <c r="J40" i="2"/>
  <c r="I34" i="2"/>
  <c r="B40" i="2"/>
  <c r="A40" i="2"/>
  <c r="I41" i="2" l="1"/>
  <c r="I40" i="2"/>
  <c r="I42" i="2"/>
  <c r="J80" i="2"/>
  <c r="O10" i="2"/>
  <c r="B39" i="2"/>
  <c r="A39" i="2"/>
  <c r="I37" i="2"/>
  <c r="I35" i="2"/>
  <c r="I28" i="2"/>
  <c r="I32" i="2"/>
  <c r="I30" i="2"/>
  <c r="I29" i="2"/>
  <c r="I27" i="2"/>
  <c r="K77" i="2" l="1"/>
  <c r="L77" i="2" s="1"/>
  <c r="K78" i="2"/>
  <c r="L78" i="2" s="1"/>
  <c r="K76" i="2"/>
  <c r="L76" i="2" s="1"/>
  <c r="K75" i="2"/>
  <c r="L75" i="2" s="1"/>
  <c r="K74" i="2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6" i="2"/>
  <c r="L66" i="2" s="1"/>
  <c r="K62" i="2"/>
  <c r="L62" i="2" s="1"/>
  <c r="K61" i="2"/>
  <c r="L61" i="2" s="1"/>
  <c r="K59" i="2"/>
  <c r="L59" i="2" s="1"/>
  <c r="K60" i="2"/>
  <c r="L60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38" i="2"/>
  <c r="L38" i="2" s="1"/>
  <c r="K36" i="2"/>
  <c r="L36" i="2" s="1"/>
  <c r="K26" i="2"/>
  <c r="L26" i="2" s="1"/>
  <c r="K33" i="2"/>
  <c r="L33" i="2" s="1"/>
  <c r="K25" i="2"/>
  <c r="L25" i="2" s="1"/>
  <c r="K24" i="2"/>
  <c r="L24" i="2" s="1"/>
  <c r="K22" i="2"/>
  <c r="L22" i="2" s="1"/>
  <c r="K21" i="2"/>
  <c r="L21" i="2" s="1"/>
  <c r="K20" i="2"/>
  <c r="L20" i="2" s="1"/>
  <c r="K18" i="2"/>
  <c r="L18" i="2" s="1"/>
  <c r="K19" i="2"/>
  <c r="L19" i="2" s="1"/>
  <c r="K17" i="2"/>
  <c r="L17" i="2" s="1"/>
  <c r="K16" i="2"/>
  <c r="K23" i="2"/>
  <c r="L23" i="2" s="1"/>
  <c r="K65" i="2"/>
  <c r="L65" i="2" s="1"/>
  <c r="K67" i="2"/>
  <c r="L67" i="2" s="1"/>
  <c r="K79" i="2"/>
  <c r="L79" i="2" s="1"/>
  <c r="K63" i="2"/>
  <c r="L63" i="2" s="1"/>
  <c r="K50" i="2"/>
  <c r="L50" i="2" s="1"/>
  <c r="K43" i="2"/>
  <c r="L43" i="2" s="1"/>
  <c r="K48" i="2"/>
  <c r="L48" i="2" s="1"/>
  <c r="K42" i="2"/>
  <c r="L42" i="2" s="1"/>
  <c r="I39" i="2"/>
  <c r="K6" i="2"/>
  <c r="N28" i="2" l="1"/>
  <c r="H80" i="2"/>
  <c r="H2" i="2"/>
  <c r="F10" i="2" s="1"/>
  <c r="I64" i="2"/>
  <c r="I57" i="2"/>
  <c r="I49" i="2"/>
  <c r="I46" i="2"/>
  <c r="B45" i="2"/>
  <c r="A45" i="2"/>
  <c r="I45" i="2" s="1"/>
  <c r="B44" i="2"/>
  <c r="A44" i="2"/>
  <c r="I31" i="2"/>
  <c r="I44" i="2" l="1"/>
  <c r="K34" i="2"/>
  <c r="K41" i="2" l="1"/>
  <c r="L41" i="2" s="1"/>
  <c r="K32" i="2"/>
  <c r="L32" i="2" s="1"/>
  <c r="P10" i="2"/>
  <c r="K40" i="2"/>
  <c r="L40" i="2" s="1"/>
  <c r="K37" i="2"/>
  <c r="L37" i="2" s="1"/>
  <c r="K39" i="2"/>
  <c r="L39" i="2" s="1"/>
  <c r="K28" i="2"/>
  <c r="L28" i="2" s="1"/>
  <c r="K35" i="2"/>
  <c r="L35" i="2" s="1"/>
  <c r="L34" i="2"/>
  <c r="K30" i="2"/>
  <c r="L30" i="2" s="1"/>
  <c r="K29" i="2"/>
  <c r="L29" i="2" s="1"/>
  <c r="L16" i="2"/>
  <c r="K27" i="2"/>
  <c r="L27" i="2" s="1"/>
  <c r="K47" i="2"/>
  <c r="L47" i="2" s="1"/>
  <c r="K46" i="2"/>
  <c r="L46" i="2" s="1"/>
  <c r="K57" i="2"/>
  <c r="L57" i="2" s="1"/>
  <c r="K49" i="2"/>
  <c r="L49" i="2" s="1"/>
  <c r="K31" i="2"/>
  <c r="L31" i="2" s="1"/>
  <c r="K45" i="2"/>
  <c r="L45" i="2" s="1"/>
  <c r="K44" i="2"/>
  <c r="L44" i="2" s="1"/>
  <c r="K64" i="2"/>
  <c r="L64" i="2" s="1"/>
  <c r="L80" i="2" l="1"/>
  <c r="Q10" i="2" s="1"/>
  <c r="O24" i="2" s="1"/>
  <c r="K80" i="2"/>
  <c r="O16" i="2" l="1"/>
  <c r="O23" i="2"/>
  <c r="O17" i="2"/>
  <c r="O21" i="2"/>
  <c r="O18" i="2"/>
  <c r="O22" i="2"/>
  <c r="O25" i="2"/>
  <c r="O19" i="2"/>
  <c r="O20" i="2"/>
  <c r="O28" i="2"/>
</calcChain>
</file>

<file path=xl/sharedStrings.xml><?xml version="1.0" encoding="utf-8"?>
<sst xmlns="http://schemas.openxmlformats.org/spreadsheetml/2006/main" count="101" uniqueCount="101">
  <si>
    <t>O</t>
  </si>
  <si>
    <t>(5 &lt; E &lt; 10 keV)</t>
  </si>
  <si>
    <t>Cu</t>
  </si>
  <si>
    <t>S</t>
  </si>
  <si>
    <t>Zn</t>
  </si>
  <si>
    <t>Ga</t>
  </si>
  <si>
    <t>Ge</t>
  </si>
  <si>
    <t>µ/ρ 1</t>
  </si>
  <si>
    <t>µ/ρ 2</t>
  </si>
  <si>
    <t>Se</t>
  </si>
  <si>
    <t>atomic number</t>
  </si>
  <si>
    <t>Mo</t>
  </si>
  <si>
    <t>element</t>
  </si>
  <si>
    <t>quantity</t>
  </si>
  <si>
    <t>In</t>
  </si>
  <si>
    <t>Sn</t>
  </si>
  <si>
    <t>att. factor</t>
  </si>
  <si>
    <r>
      <t>E</t>
    </r>
    <r>
      <rPr>
        <b/>
        <vertAlign val="subscript"/>
        <sz val="11"/>
        <color theme="1"/>
        <rFont val="Calibri"/>
        <family val="2"/>
        <scheme val="minor"/>
      </rPr>
      <t>X-ray</t>
    </r>
    <r>
      <rPr>
        <b/>
        <sz val="11"/>
        <color theme="1"/>
        <rFont val="Calibri"/>
        <family val="2"/>
        <scheme val="minor"/>
      </rPr>
      <t xml:space="preserve"> [keV]</t>
    </r>
  </si>
  <si>
    <t>a [Å]</t>
  </si>
  <si>
    <t>b [Å]</t>
  </si>
  <si>
    <t>c [Å]</t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</si>
  <si>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 [°]</t>
    </r>
  </si>
  <si>
    <r>
      <rPr>
        <b/>
        <sz val="11"/>
        <color theme="1"/>
        <rFont val="Calibri"/>
        <family val="2"/>
      </rPr>
      <t>β</t>
    </r>
    <r>
      <rPr>
        <b/>
        <sz val="11"/>
        <color theme="1"/>
        <rFont val="Calibri"/>
        <family val="2"/>
        <scheme val="minor"/>
      </rPr>
      <t xml:space="preserve"> [°]</t>
    </r>
  </si>
  <si>
    <r>
      <rPr>
        <b/>
        <sz val="11"/>
        <color theme="1"/>
        <rFont val="Calibri"/>
        <family val="2"/>
      </rPr>
      <t>γ</t>
    </r>
    <r>
      <rPr>
        <b/>
        <sz val="11"/>
        <color theme="1"/>
        <rFont val="Calibri"/>
        <family val="2"/>
        <scheme val="minor"/>
      </rPr>
      <t xml:space="preserve"> [°]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</si>
  <si>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uc</t>
    </r>
    <r>
      <rPr>
        <b/>
        <sz val="11"/>
        <color theme="1"/>
        <rFont val="Calibri"/>
        <family val="2"/>
        <scheme val="minor"/>
      </rPr>
      <t xml:space="preserve"> [Å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</si>
  <si>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Σ</t>
  </si>
  <si>
    <t>weight fraction [%]</t>
  </si>
  <si>
    <t>fractional µ/ρ</t>
  </si>
  <si>
    <r>
      <t>µ/</t>
    </r>
    <r>
      <rPr>
        <b/>
        <sz val="11"/>
        <color theme="0"/>
        <rFont val="Calibri"/>
        <family val="2"/>
      </rPr>
      <t>ρ [cm</t>
    </r>
    <r>
      <rPr>
        <b/>
        <vertAlign val="super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 xml:space="preserve"> g</t>
    </r>
    <r>
      <rPr>
        <b/>
        <vertAlign val="superscript"/>
        <sz val="11"/>
        <color theme="0"/>
        <rFont val="Calibri"/>
        <family val="2"/>
      </rPr>
      <t>-1</t>
    </r>
    <r>
      <rPr>
        <b/>
        <sz val="11"/>
        <color theme="0"/>
        <rFont val="Calibri"/>
        <family val="2"/>
      </rPr>
      <t>]</t>
    </r>
  </si>
  <si>
    <r>
      <t>total mass [g mol</t>
    </r>
    <r>
      <rPr>
        <b/>
        <vertAlign val="superscript"/>
        <sz val="11"/>
        <color theme="0"/>
        <rFont val="Calibri"/>
        <family val="2"/>
        <scheme val="minor"/>
      </rPr>
      <t>-1</t>
    </r>
    <r>
      <rPr>
        <b/>
        <sz val="11"/>
        <color theme="0"/>
        <rFont val="Calibri"/>
        <family val="2"/>
        <scheme val="minor"/>
      </rPr>
      <t>]</t>
    </r>
  </si>
  <si>
    <r>
      <t>µ [cm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</si>
  <si>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r>
      <t>Attenuation factor is commonly defined as I/I</t>
    </r>
    <r>
      <rPr>
        <b/>
        <vertAlign val="subscript"/>
        <sz val="11"/>
        <color rgb="FF9C6500"/>
        <rFont val="Calibri"/>
        <family val="2"/>
        <scheme val="minor"/>
      </rPr>
      <t>0</t>
    </r>
    <r>
      <rPr>
        <b/>
        <sz val="11"/>
        <color rgb="FF9C6500"/>
        <rFont val="Calibri"/>
        <family val="2"/>
        <scheme val="minor"/>
      </rPr>
      <t xml:space="preserve"> = 1/e =</t>
    </r>
  </si>
  <si>
    <r>
      <t>M [g mol</t>
    </r>
    <r>
      <rPr>
        <b/>
        <vertAlign val="superscript"/>
        <sz val="11"/>
        <color theme="0"/>
        <rFont val="Calibri"/>
        <family val="2"/>
        <scheme val="minor"/>
      </rPr>
      <t>-1</t>
    </r>
    <r>
      <rPr>
        <b/>
        <sz val="11"/>
        <color theme="0"/>
        <rFont val="Calibri"/>
        <family val="2"/>
        <scheme val="minor"/>
      </rPr>
      <t>]</t>
    </r>
  </si>
  <si>
    <t>ω / Θ [°]</t>
  </si>
  <si>
    <r>
      <t xml:space="preserve">probing depth </t>
    </r>
    <r>
      <rPr>
        <b/>
        <i/>
        <sz val="11"/>
        <color theme="0"/>
        <rFont val="Calibri"/>
        <family val="2"/>
        <scheme val="minor"/>
      </rPr>
      <t>d</t>
    </r>
    <r>
      <rPr>
        <b/>
        <sz val="11"/>
        <color theme="0"/>
        <rFont val="Calibri"/>
        <family val="2"/>
        <scheme val="minor"/>
      </rPr>
      <t xml:space="preserve"> [µm]</t>
    </r>
  </si>
  <si>
    <t>&gt;&gt;&gt;&gt;&gt;&gt;Enter your values in all cells having this format&lt;&lt;&lt;&lt;&lt;&lt;</t>
  </si>
  <si>
    <t>wavelength-to-energy converter</t>
  </si>
  <si>
    <t>λ [Å]</t>
  </si>
  <si>
    <t>E [keV]</t>
  </si>
  <si>
    <r>
      <t>Avogadro's number N</t>
    </r>
    <r>
      <rPr>
        <b/>
        <vertAlign val="subscript"/>
        <sz val="11"/>
        <color rgb="FF9C6500"/>
        <rFont val="Calibri"/>
        <family val="2"/>
        <scheme val="minor"/>
      </rPr>
      <t>A</t>
    </r>
    <r>
      <rPr>
        <b/>
        <sz val="11"/>
        <color rgb="FF9C6500"/>
        <rFont val="Calibri"/>
        <family val="2"/>
        <scheme val="minor"/>
      </rPr>
      <t xml:space="preserve"> =</t>
    </r>
  </si>
  <si>
    <r>
      <t>ρ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[g cm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]</t>
    </r>
  </si>
  <si>
    <t>Z (fu/uc)</t>
  </si>
  <si>
    <t>Mg</t>
  </si>
  <si>
    <t>Al</t>
  </si>
  <si>
    <t>Si</t>
  </si>
  <si>
    <t>P</t>
  </si>
  <si>
    <t>Cl</t>
  </si>
  <si>
    <t>K</t>
  </si>
  <si>
    <t>Ca</t>
  </si>
  <si>
    <t>Ti</t>
  </si>
  <si>
    <t>Cr</t>
  </si>
  <si>
    <t>Mn</t>
  </si>
  <si>
    <t>Fe</t>
  </si>
  <si>
    <t>Co</t>
  </si>
  <si>
    <t>Ni</t>
  </si>
  <si>
    <t>As</t>
  </si>
  <si>
    <t>Br</t>
  </si>
  <si>
    <t>Cd</t>
  </si>
  <si>
    <t>Pb</t>
  </si>
  <si>
    <r>
      <t xml:space="preserve">This calculation sheet is designed for approximating X-ray attenuation lengths in </t>
    </r>
    <r>
      <rPr>
        <u/>
        <sz val="11"/>
        <color theme="1"/>
        <rFont val="Calibri"/>
        <family val="2"/>
        <scheme val="minor"/>
      </rPr>
      <t>reflection</t>
    </r>
    <r>
      <rPr>
        <sz val="11"/>
        <color theme="1"/>
        <rFont val="Calibri"/>
        <family val="2"/>
        <scheme val="minor"/>
      </rPr>
      <t xml:space="preserve"> geometry. Approximation of the X-ray attenuation length in dependence of the</t>
    </r>
    <r>
      <rPr>
        <u/>
        <sz val="11"/>
        <color theme="1"/>
        <rFont val="Calibri"/>
        <family val="2"/>
        <scheme val="minor"/>
      </rPr>
      <t xml:space="preserve"> composition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unit cell metrics</t>
    </r>
    <r>
      <rPr>
        <sz val="11"/>
        <color theme="1"/>
        <rFont val="Calibri"/>
        <family val="2"/>
        <scheme val="minor"/>
      </rPr>
      <t xml:space="preserve"> (i.e. X-ray density) and </t>
    </r>
    <r>
      <rPr>
        <u/>
        <sz val="11"/>
        <color theme="1"/>
        <rFont val="Calibri"/>
        <family val="2"/>
        <scheme val="minor"/>
      </rPr>
      <t>energy</t>
    </r>
    <r>
      <rPr>
        <sz val="11"/>
        <color theme="1"/>
        <rFont val="Calibri"/>
        <family val="2"/>
        <scheme val="minor"/>
      </rPr>
      <t xml:space="preserve"> of the X-rays (energy range can be arbitrarily chosen between 5 keV and 10 keV). The corresponding penetration depth 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follows from the incident beam angle, either </t>
    </r>
    <r>
      <rPr>
        <sz val="11"/>
        <color theme="1"/>
        <rFont val="Calibri"/>
        <family val="2"/>
      </rPr>
      <t>ω or Θ.</t>
    </r>
    <r>
      <rPr>
        <sz val="11"/>
        <color theme="1"/>
        <rFont val="Calibri"/>
        <family val="2"/>
        <scheme val="minor"/>
      </rPr>
      <t xml:space="preserve">
The mass attenuation coefficients </t>
    </r>
    <r>
      <rPr>
        <i/>
        <sz val="11"/>
        <color theme="1"/>
        <rFont val="Calibri"/>
        <family val="2"/>
        <scheme val="minor"/>
      </rPr>
      <t>µ</t>
    </r>
    <r>
      <rPr>
        <sz val="11"/>
        <color theme="1"/>
        <rFont val="Calibri"/>
        <family val="2"/>
        <scheme val="minor"/>
      </rPr>
      <t xml:space="preserve"> and the molar masses 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were retrieved from the NIST database (http://physics.nist.gov/PhysRefData/FFast/html/form.html).
</t>
    </r>
    <r>
      <rPr>
        <b/>
        <sz val="11"/>
        <color theme="1"/>
        <rFont val="Calibri"/>
        <family val="2"/>
        <scheme val="minor"/>
      </rPr>
      <t>Please note that the originator by no means assumes liability for any incorrectness or errors!</t>
    </r>
  </si>
  <si>
    <t>Te</t>
  </si>
  <si>
    <t>H</t>
  </si>
  <si>
    <t>He</t>
  </si>
  <si>
    <t>Li</t>
  </si>
  <si>
    <t>Calculation sheet for X-ray attenuation lengths (v1.3)</t>
  </si>
  <si>
    <t>Be</t>
  </si>
  <si>
    <t>B</t>
  </si>
  <si>
    <t>C</t>
  </si>
  <si>
    <t>N</t>
  </si>
  <si>
    <t>F</t>
  </si>
  <si>
    <t>Ne</t>
  </si>
  <si>
    <t>Na</t>
  </si>
  <si>
    <t>Ar</t>
  </si>
  <si>
    <t>Sc</t>
  </si>
  <si>
    <t>V</t>
  </si>
  <si>
    <t>Kr</t>
  </si>
  <si>
    <t>Rb</t>
  </si>
  <si>
    <t>Sr</t>
  </si>
  <si>
    <t>Y</t>
  </si>
  <si>
    <t>Zr</t>
  </si>
  <si>
    <t>Nb</t>
  </si>
  <si>
    <t>Ru</t>
  </si>
  <si>
    <t>Rh</t>
  </si>
  <si>
    <t>Pd</t>
  </si>
  <si>
    <t>Ag</t>
  </si>
  <si>
    <t>Sb</t>
  </si>
  <si>
    <t>Tc</t>
  </si>
  <si>
    <t>I</t>
  </si>
  <si>
    <t>Xe</t>
  </si>
  <si>
    <t>Cs</t>
  </si>
  <si>
    <t xml:space="preserve"> </t>
  </si>
  <si>
    <t>Ba</t>
  </si>
  <si>
    <t>La</t>
  </si>
  <si>
    <t>Ce</t>
  </si>
  <si>
    <t>µ/ρ 3</t>
  </si>
  <si>
    <t>µ/ρ 4</t>
  </si>
  <si>
    <t>W</t>
  </si>
  <si>
    <t>Pt</t>
  </si>
  <si>
    <t>Au</t>
  </si>
  <si>
    <t>Hg</t>
  </si>
  <si>
    <t>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</si>
</sst>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vertAlign val="superscript"/>
      <sz val="11"/>
      <color theme="0"/>
      <name val="Calibri"/>
      <family val="2"/>
    </font>
    <font>
      <sz val="11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vertAlign val="superscript"/>
      <sz val="10"/>
      <name val="Arial"/>
      <family val="2"/>
    </font>
    <font>
      <b/>
      <sz val="11"/>
      <color rgb="FF9C6500"/>
      <name val="Calibri"/>
      <family val="2"/>
      <scheme val="minor"/>
    </font>
    <font>
      <b/>
      <vertAlign val="subscript"/>
      <sz val="11"/>
      <color rgb="FF9C65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20"/>
      <color rgb="FF0099FF"/>
      <name val="Calibri"/>
      <family val="2"/>
      <scheme val="minor"/>
    </font>
    <font>
      <b/>
      <sz val="16"/>
      <color rgb="FF3F3F7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3"/>
        <bgColor indexed="64"/>
      </patternFill>
    </fill>
    <fill>
      <patternFill patternType="darkUp">
        <bgColor rgb="FFFFCC99"/>
      </patternFill>
    </fill>
    <fill>
      <patternFill patternType="darkUp">
        <bgColor rgb="FFF2F2F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3F3F3F"/>
      </bottom>
      <diagonal/>
    </border>
    <border>
      <left style="thin">
        <color theme="0"/>
      </left>
      <right/>
      <top/>
      <bottom style="thin">
        <color rgb="FF7F7F7F"/>
      </bottom>
      <diagonal/>
    </border>
    <border>
      <left style="thin">
        <color theme="0"/>
      </left>
      <right style="medium">
        <color indexed="64"/>
      </right>
      <top/>
      <bottom style="thin">
        <color rgb="FF3F3F3F"/>
      </bottom>
      <diagonal/>
    </border>
    <border>
      <left style="thin">
        <color theme="0"/>
      </left>
      <right/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8" fillId="4" borderId="2" applyNumberFormat="0" applyAlignment="0" applyProtection="0"/>
  </cellStyleXfs>
  <cellXfs count="75">
    <xf numFmtId="0" fontId="0" fillId="0" borderId="0" xfId="0"/>
    <xf numFmtId="0" fontId="1" fillId="0" borderId="0" xfId="0" applyFont="1"/>
    <xf numFmtId="0" fontId="7" fillId="3" borderId="1" xfId="3"/>
    <xf numFmtId="0" fontId="1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5" borderId="0" xfId="0" applyFont="1" applyFill="1"/>
    <xf numFmtId="0" fontId="16" fillId="4" borderId="2" xfId="4" applyFont="1"/>
    <xf numFmtId="0" fontId="17" fillId="3" borderId="1" xfId="3" applyFont="1"/>
    <xf numFmtId="0" fontId="17" fillId="3" borderId="3" xfId="3" applyFont="1" applyBorder="1"/>
    <xf numFmtId="164" fontId="0" fillId="0" borderId="0" xfId="0" applyNumberFormat="1"/>
    <xf numFmtId="164" fontId="16" fillId="4" borderId="2" xfId="4" applyNumberFormat="1" applyFont="1"/>
    <xf numFmtId="165" fontId="7" fillId="3" borderId="1" xfId="3" applyNumberFormat="1"/>
    <xf numFmtId="165" fontId="0" fillId="0" borderId="0" xfId="0" applyNumberFormat="1"/>
    <xf numFmtId="165" fontId="16" fillId="4" borderId="2" xfId="4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9" fillId="2" borderId="7" xfId="2" applyFont="1" applyBorder="1"/>
    <xf numFmtId="0" fontId="19" fillId="2" borderId="0" xfId="2" applyFont="1" applyBorder="1"/>
    <xf numFmtId="0" fontId="19" fillId="2" borderId="9" xfId="2" applyFont="1" applyBorder="1"/>
    <xf numFmtId="0" fontId="19" fillId="2" borderId="10" xfId="2" applyFont="1" applyBorder="1"/>
    <xf numFmtId="165" fontId="19" fillId="2" borderId="8" xfId="2" applyNumberFormat="1" applyFont="1" applyBorder="1" applyAlignment="1">
      <alignment horizontal="left"/>
    </xf>
    <xf numFmtId="11" fontId="19" fillId="2" borderId="11" xfId="2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7" fillId="3" borderId="1" xfId="3" applyNumberFormat="1" applyAlignment="1">
      <alignment horizontal="left"/>
    </xf>
    <xf numFmtId="0" fontId="7" fillId="3" borderId="1" xfId="3" applyAlignment="1">
      <alignment horizontal="left"/>
    </xf>
    <xf numFmtId="165" fontId="8" fillId="4" borderId="2" xfId="4" applyNumberFormat="1" applyAlignment="1">
      <alignment horizontal="left"/>
    </xf>
    <xf numFmtId="0" fontId="9" fillId="0" borderId="0" xfId="0" applyFont="1" applyFill="1"/>
    <xf numFmtId="165" fontId="0" fillId="0" borderId="0" xfId="0" applyNumberFormat="1" applyBorder="1"/>
    <xf numFmtId="0" fontId="14" fillId="5" borderId="7" xfId="0" applyFont="1" applyFill="1" applyBorder="1"/>
    <xf numFmtId="165" fontId="7" fillId="3" borderId="23" xfId="3" applyNumberFormat="1" applyBorder="1"/>
    <xf numFmtId="166" fontId="8" fillId="4" borderId="24" xfId="4" applyNumberFormat="1" applyBorder="1"/>
    <xf numFmtId="166" fontId="7" fillId="3" borderId="1" xfId="3" applyNumberFormat="1"/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6" borderId="4" xfId="2" applyFont="1" applyFill="1" applyBorder="1" applyAlignment="1">
      <alignment horizontal="center"/>
    </xf>
    <xf numFmtId="0" fontId="19" fillId="6" borderId="5" xfId="2" applyFont="1" applyFill="1" applyBorder="1" applyAlignment="1">
      <alignment horizontal="center"/>
    </xf>
    <xf numFmtId="0" fontId="19" fillId="6" borderId="6" xfId="2" applyFont="1" applyFill="1" applyBorder="1" applyAlignment="1">
      <alignment horizontal="center"/>
    </xf>
    <xf numFmtId="0" fontId="24" fillId="7" borderId="12" xfId="2" applyFont="1" applyFill="1" applyBorder="1" applyAlignment="1">
      <alignment horizontal="center" vertical="center"/>
    </xf>
    <xf numFmtId="0" fontId="24" fillId="7" borderId="13" xfId="2" applyFont="1" applyFill="1" applyBorder="1" applyAlignment="1">
      <alignment horizontal="center" vertical="center"/>
    </xf>
    <xf numFmtId="0" fontId="24" fillId="7" borderId="14" xfId="2" applyFont="1" applyFill="1" applyBorder="1" applyAlignment="1">
      <alignment horizontal="center" vertical="center"/>
    </xf>
    <xf numFmtId="165" fontId="23" fillId="4" borderId="12" xfId="4" applyNumberFormat="1" applyFont="1" applyBorder="1" applyAlignment="1">
      <alignment horizontal="center" vertical="center"/>
    </xf>
    <xf numFmtId="165" fontId="23" fillId="4" borderId="13" xfId="4" applyNumberFormat="1" applyFont="1" applyBorder="1" applyAlignment="1">
      <alignment horizontal="center" vertical="center"/>
    </xf>
    <xf numFmtId="165" fontId="23" fillId="4" borderId="14" xfId="4" applyNumberFormat="1" applyFont="1" applyBorder="1" applyAlignment="1">
      <alignment horizontal="center" vertical="center"/>
    </xf>
    <xf numFmtId="0" fontId="25" fillId="3" borderId="0" xfId="3" applyFont="1" applyBorder="1" applyAlignment="1">
      <alignment horizontal="center" vertical="center"/>
    </xf>
    <xf numFmtId="0" fontId="6" fillId="2" borderId="4" xfId="2" applyBorder="1" applyAlignment="1">
      <alignment horizontal="center"/>
    </xf>
    <xf numFmtId="0" fontId="6" fillId="2" borderId="6" xfId="2" applyBorder="1" applyAlignment="1">
      <alignment horizontal="center"/>
    </xf>
    <xf numFmtId="0" fontId="9" fillId="5" borderId="26" xfId="0" applyFont="1" applyFill="1" applyBorder="1"/>
    <xf numFmtId="0" fontId="9" fillId="5" borderId="25" xfId="0" applyFont="1" applyFill="1" applyBorder="1"/>
    <xf numFmtId="0" fontId="9" fillId="5" borderId="27" xfId="0" applyFont="1" applyFill="1" applyBorder="1"/>
    <xf numFmtId="0" fontId="9" fillId="5" borderId="0" xfId="0" applyFont="1" applyFill="1" applyBorder="1"/>
    <xf numFmtId="0" fontId="9" fillId="5" borderId="28" xfId="0" applyFont="1" applyFill="1" applyBorder="1"/>
    <xf numFmtId="164" fontId="9" fillId="5" borderId="27" xfId="0" applyNumberFormat="1" applyFont="1" applyFill="1" applyBorder="1"/>
    <xf numFmtId="165" fontId="9" fillId="5" borderId="29" xfId="0" applyNumberFormat="1" applyFont="1" applyFill="1" applyBorder="1"/>
    <xf numFmtId="165" fontId="9" fillId="5" borderId="27" xfId="0" applyNumberFormat="1" applyFont="1" applyFill="1" applyBorder="1"/>
    <xf numFmtId="0" fontId="9" fillId="5" borderId="30" xfId="0" applyFont="1" applyFill="1" applyBorder="1"/>
    <xf numFmtId="0" fontId="17" fillId="8" borderId="1" xfId="3" applyFont="1" applyFill="1"/>
    <xf numFmtId="165" fontId="16" fillId="9" borderId="2" xfId="4" applyNumberFormat="1" applyFont="1" applyFill="1"/>
    <xf numFmtId="0" fontId="16" fillId="4" borderId="2" xfId="4" applyFont="1" applyAlignment="1">
      <alignment horizontal="right"/>
    </xf>
    <xf numFmtId="2" fontId="9" fillId="5" borderId="31" xfId="0" applyNumberFormat="1" applyFont="1" applyFill="1" applyBorder="1"/>
    <xf numFmtId="164" fontId="9" fillId="5" borderId="33" xfId="0" applyNumberFormat="1" applyFont="1" applyFill="1" applyBorder="1"/>
    <xf numFmtId="165" fontId="9" fillId="5" borderId="33" xfId="0" applyNumberFormat="1" applyFont="1" applyFill="1" applyBorder="1"/>
    <xf numFmtId="165" fontId="9" fillId="5" borderId="31" xfId="0" applyNumberFormat="1" applyFont="1" applyFill="1" applyBorder="1"/>
    <xf numFmtId="165" fontId="9" fillId="5" borderId="34" xfId="0" applyNumberFormat="1" applyFont="1" applyFill="1" applyBorder="1"/>
    <xf numFmtId="0" fontId="9" fillId="5" borderId="32" xfId="0" applyFont="1" applyFill="1" applyBorder="1"/>
    <xf numFmtId="0" fontId="14" fillId="5" borderId="31" xfId="0" applyFont="1" applyFill="1" applyBorder="1"/>
    <xf numFmtId="0" fontId="9" fillId="5" borderId="31" xfId="0" applyFont="1" applyFill="1" applyBorder="1"/>
  </cellXfs>
  <cellStyles count="5">
    <cellStyle name="Ausgabe" xfId="4" builtinId="21"/>
    <cellStyle name="Eingabe" xfId="3" builtinId="20"/>
    <cellStyle name="Neutral" xfId="2" builtinId="28"/>
    <cellStyle name="Standard" xfId="0" builtinId="0"/>
    <cellStyle name="Standard 2" xfId="1"/>
  </cellStyles>
  <dxfs count="12">
    <dxf>
      <numFmt numFmtId="2" formatCode="0.00"/>
    </dxf>
    <dxf>
      <font>
        <b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2" formatCode="0.00"/>
    </dxf>
    <dxf>
      <font>
        <b/>
        <i val="0"/>
        <color auto="1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numFmt numFmtId="2" formatCode="0.00"/>
    </dxf>
    <dxf>
      <font>
        <b/>
        <i val="0"/>
        <color auto="1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numFmt numFmtId="2" formatCode="0.00"/>
    </dxf>
    <dxf>
      <font>
        <b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2" formatCode="0.00"/>
    </dxf>
    <dxf>
      <font>
        <b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0099FF"/>
      <color rgb="FF3366FF"/>
      <color rgb="FFFFFFA3"/>
      <color rgb="FFFFFF99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590550</xdr:colOff>
          <xdr:row>27</xdr:row>
          <xdr:rowOff>9525</xdr:rowOff>
        </xdr:from>
        <xdr:to>
          <xdr:col>13</xdr:col>
          <xdr:colOff>9525</xdr:colOff>
          <xdr:row>31</xdr:row>
          <xdr:rowOff>9525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94"/>
  <sheetViews>
    <sheetView tabSelected="1" topLeftCell="E1" workbookViewId="0">
      <selection activeCell="E5" sqref="E5:H6"/>
    </sheetView>
  </sheetViews>
  <sheetFormatPr baseColWidth="10" defaultRowHeight="15.95" customHeight="1" x14ac:dyDescent="0.25"/>
  <cols>
    <col min="1" max="4" width="0.28515625" hidden="1" customWidth="1"/>
    <col min="5" max="8" width="20.28515625" customWidth="1"/>
    <col min="9" max="9" width="20.28515625" style="10" customWidth="1"/>
    <col min="10" max="10" width="20.28515625" customWidth="1"/>
    <col min="11" max="11" width="20.28515625" style="13" customWidth="1"/>
    <col min="12" max="17" width="20.28515625" customWidth="1"/>
  </cols>
  <sheetData>
    <row r="1" spans="1:17" ht="15.95" customHeight="1" x14ac:dyDescent="0.25">
      <c r="E1" s="43" t="s">
        <v>64</v>
      </c>
      <c r="F1" s="44"/>
      <c r="G1" s="44"/>
      <c r="H1" s="45"/>
    </row>
    <row r="2" spans="1:17" ht="15.95" customHeight="1" x14ac:dyDescent="0.35">
      <c r="E2" s="17" t="s">
        <v>31</v>
      </c>
      <c r="F2" s="18"/>
      <c r="G2" s="18"/>
      <c r="H2" s="21">
        <f>1/EXP(1)</f>
        <v>0.36787944117144233</v>
      </c>
    </row>
    <row r="3" spans="1:17" ht="15.95" customHeight="1" thickBot="1" x14ac:dyDescent="0.4">
      <c r="E3" s="19" t="s">
        <v>39</v>
      </c>
      <c r="F3" s="20"/>
      <c r="G3" s="20"/>
      <c r="H3" s="22">
        <v>6.0221408599999999E+23</v>
      </c>
    </row>
    <row r="4" spans="1:17" ht="15.95" customHeight="1" x14ac:dyDescent="0.25">
      <c r="J4" s="53" t="s">
        <v>36</v>
      </c>
      <c r="K4" s="54"/>
    </row>
    <row r="5" spans="1:17" ht="15.95" customHeight="1" x14ac:dyDescent="0.25">
      <c r="E5" s="52" t="s">
        <v>35</v>
      </c>
      <c r="F5" s="52"/>
      <c r="G5" s="52"/>
      <c r="H5" s="52"/>
      <c r="J5" s="30" t="s">
        <v>37</v>
      </c>
      <c r="K5" s="61" t="s">
        <v>38</v>
      </c>
    </row>
    <row r="6" spans="1:17" ht="15.95" customHeight="1" thickBot="1" x14ac:dyDescent="0.3">
      <c r="E6" s="52"/>
      <c r="F6" s="52"/>
      <c r="G6" s="52"/>
      <c r="H6" s="52"/>
      <c r="J6" s="31">
        <v>1.5405979999999999</v>
      </c>
      <c r="K6" s="32">
        <f>6.62607004E-34*299792458/($J$6*0.0000001*1.60217662E-19)</f>
        <v>8.0477968592919815</v>
      </c>
    </row>
    <row r="9" spans="1:17" ht="15.95" customHeight="1" x14ac:dyDescent="0.35">
      <c r="E9" s="1" t="s">
        <v>17</v>
      </c>
      <c r="F9" s="33">
        <v>8.048</v>
      </c>
      <c r="G9" t="s">
        <v>1</v>
      </c>
      <c r="I9" s="23" t="s">
        <v>18</v>
      </c>
      <c r="J9" s="4" t="s">
        <v>19</v>
      </c>
      <c r="K9" s="2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40</v>
      </c>
      <c r="Q9" s="4" t="s">
        <v>30</v>
      </c>
    </row>
    <row r="10" spans="1:17" ht="15.95" customHeight="1" x14ac:dyDescent="0.25">
      <c r="E10" s="1" t="s">
        <v>16</v>
      </c>
      <c r="F10" s="12">
        <f>H2</f>
        <v>0.36787944117144233</v>
      </c>
      <c r="I10" s="25">
        <v>5.61</v>
      </c>
      <c r="J10" s="25">
        <v>5.61</v>
      </c>
      <c r="K10" s="25">
        <v>11.06</v>
      </c>
      <c r="L10" s="26">
        <v>90</v>
      </c>
      <c r="M10" s="26">
        <v>90</v>
      </c>
      <c r="N10" s="26">
        <v>90</v>
      </c>
      <c r="O10" s="27">
        <f>$I$10*$J$10*$K$10*SQRT(1+2*COS($L$10*PI()/180)*COS($M$10*PI()/180)*COS($N$10*PI()/180)-COS($L$10*PI()/180)^2-COS($M$10*PI()/180)^2-COS($N$10*PI()/180)^2)</f>
        <v>348.08142600000008</v>
      </c>
      <c r="P10" s="27">
        <f>$J$80/($O$10*$H$3*1E-24)</f>
        <v>5.5432428299751608</v>
      </c>
      <c r="Q10" s="27">
        <f>$L$80*$P$10</f>
        <v>367.41161014079881</v>
      </c>
    </row>
    <row r="11" spans="1:17" ht="15.95" customHeight="1" x14ac:dyDescent="0.25">
      <c r="E11" s="1" t="s">
        <v>41</v>
      </c>
      <c r="F11" s="2">
        <v>2</v>
      </c>
    </row>
    <row r="15" spans="1:17" ht="15.95" customHeight="1" x14ac:dyDescent="0.25">
      <c r="A15" s="1" t="s">
        <v>7</v>
      </c>
      <c r="B15" s="1" t="s">
        <v>8</v>
      </c>
      <c r="C15" s="1" t="s">
        <v>94</v>
      </c>
      <c r="D15" s="1" t="s">
        <v>95</v>
      </c>
      <c r="E15" s="56" t="s">
        <v>10</v>
      </c>
      <c r="F15" s="57" t="s">
        <v>12</v>
      </c>
      <c r="G15" s="58" t="s">
        <v>32</v>
      </c>
      <c r="H15" s="59" t="s">
        <v>13</v>
      </c>
      <c r="I15" s="60" t="s">
        <v>28</v>
      </c>
      <c r="J15" s="57" t="s">
        <v>29</v>
      </c>
      <c r="K15" s="62" t="s">
        <v>26</v>
      </c>
      <c r="L15" s="55" t="s">
        <v>27</v>
      </c>
      <c r="N15" s="6" t="s">
        <v>33</v>
      </c>
      <c r="O15" s="63" t="s">
        <v>34</v>
      </c>
      <c r="P15" s="28"/>
    </row>
    <row r="16" spans="1:17" ht="15.95" customHeight="1" x14ac:dyDescent="0.25">
      <c r="E16" s="7">
        <v>1</v>
      </c>
      <c r="F16" s="7" t="s">
        <v>61</v>
      </c>
      <c r="G16" s="11">
        <v>1.008</v>
      </c>
      <c r="H16" s="8">
        <v>0</v>
      </c>
      <c r="I16" s="14">
        <f>0.82793-0.21657*$F$9+0.03839*$F$9^2-0.00296*$F$9^3+0.0000852*$F$9^4</f>
        <v>0.3859736293251857</v>
      </c>
      <c r="J16" s="14">
        <f t="shared" ref="J16:J26" si="0">$F$11*$H16*$G16</f>
        <v>0</v>
      </c>
      <c r="K16" s="14">
        <f t="shared" ref="K16:K23" si="1">J16/$J$80*100</f>
        <v>0</v>
      </c>
      <c r="L16" s="14">
        <f t="shared" ref="L16:L30" si="2">K16/100*I16</f>
        <v>0</v>
      </c>
      <c r="N16" s="5">
        <v>90</v>
      </c>
      <c r="O16" s="27">
        <f>((-LN($F$10))/$Q$10)*10000*SIN(N16*PI()/180)</f>
        <v>27.21743059825414</v>
      </c>
    </row>
    <row r="17" spans="5:15" ht="15.95" customHeight="1" x14ac:dyDescent="0.25">
      <c r="E17" s="7">
        <v>2</v>
      </c>
      <c r="F17" s="7" t="s">
        <v>62</v>
      </c>
      <c r="G17" s="11">
        <v>4.0030000000000001</v>
      </c>
      <c r="H17" s="8">
        <v>0</v>
      </c>
      <c r="I17" s="14">
        <f>4.67639-1.89861*$F$9+0.31451*$F$9^2-0.02362*$F$9^3+0.000671*$F$9^4</f>
        <v>0.26982842738633472</v>
      </c>
      <c r="J17" s="14">
        <f t="shared" si="0"/>
        <v>0</v>
      </c>
      <c r="K17" s="14">
        <f t="shared" si="1"/>
        <v>0</v>
      </c>
      <c r="L17" s="14">
        <f t="shared" si="2"/>
        <v>0</v>
      </c>
      <c r="N17" s="5">
        <v>80</v>
      </c>
      <c r="O17" s="27">
        <f t="shared" ref="O17:O25" si="3">((-LN($F$10))/$Q$10)*10000*SIN(N17*PI()/180)</f>
        <v>26.803936670232375</v>
      </c>
    </row>
    <row r="18" spans="5:15" ht="15.95" customHeight="1" x14ac:dyDescent="0.25">
      <c r="E18" s="7">
        <v>3</v>
      </c>
      <c r="F18" s="7" t="s">
        <v>63</v>
      </c>
      <c r="G18" s="11">
        <v>6.9409999999999998</v>
      </c>
      <c r="H18" s="8">
        <v>0</v>
      </c>
      <c r="I18" s="14">
        <f>29.4384-15.51302*$F$9+3.442*$F$9^2-0.39118*$F$9^3+0.02252*$F$9^4-0.000522*$F$9^5</f>
        <v>0.46954502851774649</v>
      </c>
      <c r="J18" s="14">
        <f t="shared" si="0"/>
        <v>0</v>
      </c>
      <c r="K18" s="14">
        <f t="shared" si="1"/>
        <v>0</v>
      </c>
      <c r="L18" s="14">
        <f t="shared" si="2"/>
        <v>0</v>
      </c>
      <c r="N18" s="5">
        <v>70</v>
      </c>
      <c r="O18" s="27">
        <f t="shared" si="3"/>
        <v>25.576018689932006</v>
      </c>
    </row>
    <row r="19" spans="5:15" ht="15.95" customHeight="1" x14ac:dyDescent="0.25">
      <c r="E19" s="7">
        <v>4</v>
      </c>
      <c r="F19" s="7" t="s">
        <v>65</v>
      </c>
      <c r="G19" s="11">
        <v>9.0121800000000007</v>
      </c>
      <c r="H19" s="8">
        <v>0</v>
      </c>
      <c r="I19" s="14">
        <f>52.9409-22.23078*$F$9+3.66493*$F$9^2-0.27432*$F$9^3+0.00778*$F$9^4</f>
        <v>1.0496364827663527</v>
      </c>
      <c r="J19" s="14">
        <f t="shared" si="0"/>
        <v>0</v>
      </c>
      <c r="K19" s="14">
        <f t="shared" si="1"/>
        <v>0</v>
      </c>
      <c r="L19" s="14">
        <f t="shared" si="2"/>
        <v>0</v>
      </c>
      <c r="N19" s="5">
        <v>60</v>
      </c>
      <c r="O19" s="27">
        <f t="shared" si="3"/>
        <v>23.570986323827977</v>
      </c>
    </row>
    <row r="20" spans="5:15" ht="15.95" customHeight="1" x14ac:dyDescent="0.25">
      <c r="E20" s="7">
        <v>5</v>
      </c>
      <c r="F20" s="7" t="s">
        <v>66</v>
      </c>
      <c r="G20" s="11">
        <v>10.81</v>
      </c>
      <c r="H20" s="8">
        <v>0</v>
      </c>
      <c r="I20" s="14">
        <f>120.46422-50.5468*$F$9+8.31739*$F$9^2-0.62167*$F$9^3+0.01761*$F$9^4</f>
        <v>2.201993105756344</v>
      </c>
      <c r="J20" s="14">
        <f t="shared" si="0"/>
        <v>0</v>
      </c>
      <c r="K20" s="14">
        <f t="shared" si="1"/>
        <v>0</v>
      </c>
      <c r="L20" s="14">
        <f t="shared" si="2"/>
        <v>0</v>
      </c>
      <c r="N20" s="5">
        <v>50</v>
      </c>
      <c r="O20" s="27">
        <f t="shared" si="3"/>
        <v>20.849761465769024</v>
      </c>
    </row>
    <row r="21" spans="5:15" ht="15.95" customHeight="1" x14ac:dyDescent="0.25">
      <c r="E21" s="7">
        <v>6</v>
      </c>
      <c r="F21" s="7" t="s">
        <v>67</v>
      </c>
      <c r="G21" s="11">
        <v>12.010999999999999</v>
      </c>
      <c r="H21" s="8">
        <v>0</v>
      </c>
      <c r="I21" s="14">
        <f>235.73033-97.96768*$F$9+15.97744*$F$9^2-1.18497*$F$9^3+0.03334*$F$9^4</f>
        <v>4.3268192560530565</v>
      </c>
      <c r="J21" s="14">
        <f t="shared" si="0"/>
        <v>0</v>
      </c>
      <c r="K21" s="14">
        <f t="shared" si="1"/>
        <v>0</v>
      </c>
      <c r="L21" s="14">
        <f t="shared" si="2"/>
        <v>0</v>
      </c>
      <c r="N21" s="5">
        <v>40</v>
      </c>
      <c r="O21" s="27">
        <f t="shared" si="3"/>
        <v>17.495027156061052</v>
      </c>
    </row>
    <row r="22" spans="5:15" ht="15.95" customHeight="1" x14ac:dyDescent="0.25">
      <c r="E22" s="7">
        <v>7</v>
      </c>
      <c r="F22" s="7" t="s">
        <v>68</v>
      </c>
      <c r="G22" s="11">
        <v>14.0067</v>
      </c>
      <c r="H22" s="8">
        <v>0</v>
      </c>
      <c r="I22" s="14">
        <f>385.67631-161.08198*$F$9+26.45446*$F$9^2-1.97751*$F$9^3+0.05608*$F$9^4</f>
        <v>7.1989151426496392</v>
      </c>
      <c r="J22" s="14">
        <f t="shared" si="0"/>
        <v>0</v>
      </c>
      <c r="K22" s="14">
        <f t="shared" si="1"/>
        <v>0</v>
      </c>
      <c r="L22" s="14">
        <f t="shared" si="2"/>
        <v>0</v>
      </c>
      <c r="N22" s="5">
        <v>30</v>
      </c>
      <c r="O22" s="27">
        <f t="shared" si="3"/>
        <v>13.608715299127068</v>
      </c>
    </row>
    <row r="23" spans="5:15" ht="15.95" customHeight="1" x14ac:dyDescent="0.25">
      <c r="E23" s="7">
        <v>8</v>
      </c>
      <c r="F23" s="7" t="s">
        <v>0</v>
      </c>
      <c r="G23" s="11">
        <v>15.999000000000001</v>
      </c>
      <c r="H23" s="8">
        <v>0</v>
      </c>
      <c r="I23" s="14">
        <f>910.39627-474.22665*$F$9+103.96553*$F$9^2-11.711*$F$9^3+0.6696*$F$9^4-0.01544*$F$9^5</f>
        <v>10.891191319706991</v>
      </c>
      <c r="J23" s="14">
        <f t="shared" si="0"/>
        <v>0</v>
      </c>
      <c r="K23" s="14">
        <f t="shared" si="1"/>
        <v>0</v>
      </c>
      <c r="L23" s="14">
        <f t="shared" si="2"/>
        <v>0</v>
      </c>
      <c r="N23" s="5">
        <v>20</v>
      </c>
      <c r="O23" s="27">
        <f>((-LN($F$10))/$Q$10)*10000*SIN(N23*PI()/180)</f>
        <v>9.3089095141713223</v>
      </c>
    </row>
    <row r="24" spans="5:15" ht="15.95" customHeight="1" x14ac:dyDescent="0.25">
      <c r="E24" s="7">
        <v>9</v>
      </c>
      <c r="F24" s="7" t="s">
        <v>69</v>
      </c>
      <c r="G24" s="11">
        <v>18.9984</v>
      </c>
      <c r="H24" s="8">
        <v>0</v>
      </c>
      <c r="I24" s="14">
        <f>773.95018-320.81992*$F$9+52.36143*$F$9^2-3.89217*$F$9^3+0.10981*$F$9^4</f>
        <v>15.254336514052909</v>
      </c>
      <c r="J24" s="14">
        <f t="shared" si="0"/>
        <v>0</v>
      </c>
      <c r="K24" s="14">
        <f t="shared" ref="K24" si="4">J24/$J$80*100</f>
        <v>0</v>
      </c>
      <c r="L24" s="14">
        <f t="shared" si="2"/>
        <v>0</v>
      </c>
      <c r="N24" s="5">
        <v>10</v>
      </c>
      <c r="O24" s="27">
        <f>((-LN($F$10))/$Q$10)*10000*SIN(N24*PI()/180)</f>
        <v>4.726257224162981</v>
      </c>
    </row>
    <row r="25" spans="5:15" ht="15.95" customHeight="1" x14ac:dyDescent="0.25">
      <c r="E25" s="7">
        <v>10</v>
      </c>
      <c r="F25" s="7" t="s">
        <v>70</v>
      </c>
      <c r="G25" s="11">
        <v>20.178999999999998</v>
      </c>
      <c r="H25" s="8">
        <v>0</v>
      </c>
      <c r="I25" s="14">
        <f>1117.28159-462.44414*$F$9+75.40465*$F$9^2-5.60137*$F$9^3+0.15795*$F$9^4</f>
        <v>22.30985671723829</v>
      </c>
      <c r="J25" s="14">
        <f t="shared" si="0"/>
        <v>0</v>
      </c>
      <c r="K25" s="14">
        <f>J25/$J$80*100</f>
        <v>0</v>
      </c>
      <c r="L25" s="14">
        <f t="shared" si="2"/>
        <v>0</v>
      </c>
      <c r="N25" s="26">
        <v>5</v>
      </c>
      <c r="O25" s="27">
        <f t="shared" si="3"/>
        <v>2.3721553794736776</v>
      </c>
    </row>
    <row r="26" spans="5:15" ht="15.95" customHeight="1" x14ac:dyDescent="0.25">
      <c r="E26" s="7">
        <v>11</v>
      </c>
      <c r="F26" s="7" t="s">
        <v>71</v>
      </c>
      <c r="G26" s="11">
        <v>22.989799999999999</v>
      </c>
      <c r="H26" s="8">
        <v>0</v>
      </c>
      <c r="I26" s="14">
        <f>1452.58674-601.03453*$F$9+97.97932*$F$9^2-7.27707*$F$9^3+0.20517*$F$9^4</f>
        <v>29.010270044222352</v>
      </c>
      <c r="J26" s="14">
        <f t="shared" si="0"/>
        <v>0</v>
      </c>
      <c r="K26" s="14">
        <f t="shared" ref="K26" si="5">J26/$J$80*100</f>
        <v>0</v>
      </c>
      <c r="L26" s="14">
        <f t="shared" si="2"/>
        <v>0</v>
      </c>
    </row>
    <row r="27" spans="5:15" ht="15.95" customHeight="1" x14ac:dyDescent="0.25">
      <c r="E27" s="7">
        <v>12</v>
      </c>
      <c r="F27" s="7" t="s">
        <v>42</v>
      </c>
      <c r="G27" s="11">
        <v>24.305</v>
      </c>
      <c r="H27" s="8">
        <v>0</v>
      </c>
      <c r="I27" s="14">
        <f>2895.143-1496.682*$F$9+327.9763*$F$9^2-37.10199*$F$9^3+2.13696*$F$9^4-0.04973*$F$9^5</f>
        <v>38.693111784807115</v>
      </c>
      <c r="J27" s="14">
        <f t="shared" ref="J27:J39" si="6">$F$11*$H27*$G27</f>
        <v>0</v>
      </c>
      <c r="K27" s="14">
        <f>J27/$J$80*100</f>
        <v>0</v>
      </c>
      <c r="L27" s="14">
        <f t="shared" si="2"/>
        <v>0</v>
      </c>
    </row>
    <row r="28" spans="5:15" ht="15.95" customHeight="1" x14ac:dyDescent="0.25">
      <c r="E28" s="7">
        <v>13</v>
      </c>
      <c r="F28" s="7" t="s">
        <v>43</v>
      </c>
      <c r="G28" s="11">
        <v>26.9815</v>
      </c>
      <c r="H28" s="8">
        <v>0</v>
      </c>
      <c r="I28" s="14">
        <f>3886.16681-2082.70589*$F$9+472.00135*$F$9^2-55.0096*$F$9^3+3.25051*$F$9^4-0.07729*$F$9^5</f>
        <v>48.268507540371957</v>
      </c>
      <c r="J28" s="14">
        <f t="shared" si="6"/>
        <v>0</v>
      </c>
      <c r="K28" s="14">
        <f>J28/$J$80*100</f>
        <v>0</v>
      </c>
      <c r="L28" s="14">
        <f t="shared" si="2"/>
        <v>0</v>
      </c>
      <c r="N28" s="46">
        <f>$M$29/4</f>
        <v>0.5</v>
      </c>
      <c r="O28" s="49">
        <f>((-LN($F$10))/$Q$10)*10000*SIN(N28*PI()/180)</f>
        <v>0.23751387429019366</v>
      </c>
    </row>
    <row r="29" spans="5:15" ht="15.95" customHeight="1" x14ac:dyDescent="0.25">
      <c r="E29" s="7">
        <v>14</v>
      </c>
      <c r="F29" s="7" t="s">
        <v>44</v>
      </c>
      <c r="G29" s="11">
        <v>28.0855</v>
      </c>
      <c r="H29" s="8">
        <v>0</v>
      </c>
      <c r="I29" s="14">
        <f>4764.33112-2511.3449*$F$9+558.9942*$F$9^2-63.9374*$F$9^3+3.70763*$F$9^4-0.08656*$F$9^5</f>
        <v>62.216684503151555</v>
      </c>
      <c r="J29" s="14">
        <f t="shared" si="6"/>
        <v>0</v>
      </c>
      <c r="K29" s="14">
        <f>J29/$J$80*100</f>
        <v>0</v>
      </c>
      <c r="L29" s="14">
        <f t="shared" si="2"/>
        <v>0</v>
      </c>
      <c r="M29" s="15">
        <v>2</v>
      </c>
      <c r="N29" s="47"/>
      <c r="O29" s="50"/>
    </row>
    <row r="30" spans="5:15" ht="15.95" customHeight="1" x14ac:dyDescent="0.25">
      <c r="E30" s="7">
        <v>15</v>
      </c>
      <c r="F30" s="7" t="s">
        <v>45</v>
      </c>
      <c r="G30" s="11">
        <v>30.973800000000001</v>
      </c>
      <c r="H30" s="8">
        <v>0</v>
      </c>
      <c r="I30" s="14">
        <f>5667.85158-2998.0497*$F$9+670.16741*$F$9^2-77.04775*$F$9^3+4.49497*$F$9^4-0.10566*$F$9^5</f>
        <v>73.580094274404928</v>
      </c>
      <c r="J30" s="14">
        <f t="shared" si="6"/>
        <v>0</v>
      </c>
      <c r="K30" s="14">
        <f>J30/$J$80*100</f>
        <v>0</v>
      </c>
      <c r="L30" s="14">
        <f t="shared" si="2"/>
        <v>0</v>
      </c>
      <c r="N30" s="47"/>
      <c r="O30" s="50"/>
    </row>
    <row r="31" spans="5:15" ht="15.95" customHeight="1" x14ac:dyDescent="0.25">
      <c r="E31" s="7">
        <v>16</v>
      </c>
      <c r="F31" s="7" t="s">
        <v>3</v>
      </c>
      <c r="G31" s="11">
        <v>32.06</v>
      </c>
      <c r="H31" s="8">
        <v>0</v>
      </c>
      <c r="I31" s="14">
        <f>6248.37007-3192.80387*$F$9+691.34102*$F$9^2-77.1788*$F$9^3+4.38182*$F$9^4-0.10044*$F$9^5</f>
        <v>91.381933248474979</v>
      </c>
      <c r="J31" s="14">
        <f t="shared" si="6"/>
        <v>0</v>
      </c>
      <c r="K31" s="14">
        <f>J31/$J$80*100</f>
        <v>0</v>
      </c>
      <c r="L31" s="14">
        <f t="shared" ref="L31:L64" si="7">K31/100*I31</f>
        <v>0</v>
      </c>
      <c r="N31" s="48"/>
      <c r="O31" s="51"/>
    </row>
    <row r="32" spans="5:15" ht="15.95" customHeight="1" x14ac:dyDescent="0.25">
      <c r="E32" s="7">
        <v>17</v>
      </c>
      <c r="F32" s="7" t="s">
        <v>46</v>
      </c>
      <c r="G32" s="11">
        <v>35.453000000000003</v>
      </c>
      <c r="H32" s="8">
        <v>0</v>
      </c>
      <c r="I32" s="14">
        <f>6431.6107-3238.84565*$F$9+696.49712*$F$9^2-77.67273*$F$9^3+4.42432*$F$9^4-0.10207*$F$9^5</f>
        <v>103.83102913711582</v>
      </c>
      <c r="J32" s="14">
        <f t="shared" si="6"/>
        <v>0</v>
      </c>
      <c r="K32" s="14">
        <f>J32/$J$80*100</f>
        <v>0</v>
      </c>
      <c r="L32" s="14">
        <f>K32/100*I32</f>
        <v>0</v>
      </c>
    </row>
    <row r="33" spans="1:12" ht="15.95" customHeight="1" x14ac:dyDescent="0.25">
      <c r="E33" s="7">
        <v>18</v>
      </c>
      <c r="F33" s="7" t="s">
        <v>72</v>
      </c>
      <c r="G33" s="11">
        <v>39.948</v>
      </c>
      <c r="H33" s="8">
        <v>0</v>
      </c>
      <c r="I33" s="14">
        <f>4474.77201-1782.21355*$F$9+283.02635*$F$9^2-20.6323*$F$9^3+0.57385*$F$9^4</f>
        <v>115.6031369051243</v>
      </c>
      <c r="J33" s="14">
        <f t="shared" si="6"/>
        <v>0</v>
      </c>
      <c r="K33" s="14">
        <f>J33/$J$80*100</f>
        <v>0</v>
      </c>
      <c r="L33" s="14">
        <f>K33/100*I33</f>
        <v>0</v>
      </c>
    </row>
    <row r="34" spans="1:12" ht="15.95" customHeight="1" x14ac:dyDescent="0.25">
      <c r="E34" s="7">
        <v>19</v>
      </c>
      <c r="F34" s="7" t="s">
        <v>47</v>
      </c>
      <c r="G34" s="11">
        <v>39.098300000000002</v>
      </c>
      <c r="H34" s="8">
        <v>0</v>
      </c>
      <c r="I34" s="14">
        <f>9271.26253-4802.42278*$F$9+1059.42181*$F$9^2-120.68312*$F$9^3+6.99009*$F$9^4-0.16329*$F$9^5</f>
        <v>143.40342543216229</v>
      </c>
      <c r="J34" s="14">
        <f t="shared" si="6"/>
        <v>0</v>
      </c>
      <c r="K34" s="14">
        <f>J34/$J$80*100</f>
        <v>0</v>
      </c>
      <c r="L34" s="14">
        <f t="shared" ref="L34" si="8">K34/100*I34</f>
        <v>0</v>
      </c>
    </row>
    <row r="35" spans="1:12" ht="15.95" customHeight="1" x14ac:dyDescent="0.25">
      <c r="E35" s="7">
        <v>20</v>
      </c>
      <c r="F35" s="7" t="s">
        <v>48</v>
      </c>
      <c r="G35" s="11">
        <v>40.08</v>
      </c>
      <c r="H35" s="8">
        <v>0</v>
      </c>
      <c r="I35" s="14">
        <f>9129.96228-4487.27171*$F$9+944.0496*$F$9^2-103.04035*$F$9^3+5.74351*$F$9^4-0.12965*$F$9^5</f>
        <v>168.55882064268917</v>
      </c>
      <c r="J35" s="14">
        <f t="shared" si="6"/>
        <v>0</v>
      </c>
      <c r="K35" s="14">
        <f>J35/$J$80*100</f>
        <v>0</v>
      </c>
      <c r="L35" s="14">
        <f t="shared" ref="L35" si="9">K35/100*I35</f>
        <v>0</v>
      </c>
    </row>
    <row r="36" spans="1:12" ht="15.95" customHeight="1" x14ac:dyDescent="0.25">
      <c r="E36" s="7">
        <v>21</v>
      </c>
      <c r="F36" s="7" t="s">
        <v>73</v>
      </c>
      <c r="G36" s="11">
        <v>44.9559</v>
      </c>
      <c r="H36" s="8">
        <v>0</v>
      </c>
      <c r="I36" s="14">
        <f>6287.86189-2465.52156*$F$9+387.09185*$F$9^2-27.95659*$F$9^3+0.7712*$F$9^4</f>
        <v>179.76246925722398</v>
      </c>
      <c r="J36" s="14">
        <f t="shared" si="6"/>
        <v>0</v>
      </c>
      <c r="K36" s="14">
        <f>J36/$J$80*100</f>
        <v>0</v>
      </c>
      <c r="L36" s="14">
        <f t="shared" ref="L36" si="10">K36/100*I36</f>
        <v>0</v>
      </c>
    </row>
    <row r="37" spans="1:12" ht="15.95" customHeight="1" x14ac:dyDescent="0.25">
      <c r="E37" s="7">
        <v>22</v>
      </c>
      <c r="F37" s="7" t="s">
        <v>49</v>
      </c>
      <c r="G37" s="11">
        <v>47.88</v>
      </c>
      <c r="H37" s="8">
        <v>0</v>
      </c>
      <c r="I37" s="14">
        <f>15739.16085-8716.24722*$F$9+2034.03483*$F$9^2-242.85222*$F$9^3+14.63273*$F$9^4-0.35344*$F$9^5</f>
        <v>197.89311403957981</v>
      </c>
      <c r="J37" s="14">
        <f t="shared" si="6"/>
        <v>0</v>
      </c>
      <c r="K37" s="14">
        <f>J37/$J$80*100</f>
        <v>0</v>
      </c>
      <c r="L37" s="14">
        <f t="shared" ref="L37" si="11">K37/100*I37</f>
        <v>0</v>
      </c>
    </row>
    <row r="38" spans="1:12" ht="15.95" customHeight="1" x14ac:dyDescent="0.25">
      <c r="A38" s="3">
        <f>1388.63613-612.83597*$F$9+100.56299*$F$9^2-6.52731*$F$9^3+0.09998*$F$9^4</f>
        <v>-13.03706389343057</v>
      </c>
      <c r="B38" s="3">
        <f>18897.33728-10400.76836*$F$9+2391.22647*$F$9^2-279.94184*$F$9^3+16.50063*$F$9^4-0.38954*$F$9^5</f>
        <v>218.05483157868366</v>
      </c>
      <c r="C38" s="3"/>
      <c r="D38" s="3"/>
      <c r="E38" s="7">
        <v>23</v>
      </c>
      <c r="F38" s="7" t="s">
        <v>74</v>
      </c>
      <c r="G38" s="11">
        <v>50.941499999999998</v>
      </c>
      <c r="H38" s="8">
        <v>0</v>
      </c>
      <c r="I38" s="14">
        <f>IF($F$9&lt;5.49,A38,B38)</f>
        <v>218.05483157868366</v>
      </c>
      <c r="J38" s="14">
        <f t="shared" si="6"/>
        <v>0</v>
      </c>
      <c r="K38" s="14">
        <f>J38/$J$80*100</f>
        <v>0</v>
      </c>
      <c r="L38" s="14">
        <f t="shared" ref="L38" si="12">K38/100*I38</f>
        <v>0</v>
      </c>
    </row>
    <row r="39" spans="1:12" ht="15.95" customHeight="1" x14ac:dyDescent="0.25">
      <c r="A39" s="3">
        <f>3860.84622-2650.81944*$F$9+779.26512*$F$9^2-119.31635*$F$9^3+9.38686*$F$9^4-0.30117*$F$9^5</f>
        <v>15.396256580241243</v>
      </c>
      <c r="B39" s="3">
        <f>22680.55158-12217.38575*$F$9+2732.37536*$F$9^2-310.34182*$F$9^3+17.73293*$F$9^4-0.40593*$F$9^5</f>
        <v>247.17074995023358</v>
      </c>
      <c r="C39" s="3"/>
      <c r="D39" s="3"/>
      <c r="E39" s="7">
        <v>24</v>
      </c>
      <c r="F39" s="7" t="s">
        <v>50</v>
      </c>
      <c r="G39" s="11">
        <v>51.996000000000002</v>
      </c>
      <c r="H39" s="8">
        <v>0</v>
      </c>
      <c r="I39" s="14">
        <f>IF($F$9&lt;6.02,A39,B39)</f>
        <v>247.17074995023358</v>
      </c>
      <c r="J39" s="14">
        <f t="shared" si="6"/>
        <v>0</v>
      </c>
      <c r="K39" s="14">
        <f>J39/$J$80*100</f>
        <v>0</v>
      </c>
      <c r="L39" s="14">
        <f t="shared" ref="L39" si="13">K39/100*I39</f>
        <v>0</v>
      </c>
    </row>
    <row r="40" spans="1:12" ht="15.95" customHeight="1" x14ac:dyDescent="0.25">
      <c r="A40" s="3">
        <f>4025.99113-2691.18671*$F$9+769.40515*$F$9^2-114.4272*$F$9^3+8.73242*$F$9^4-0.27141*$F$9^5</f>
        <v>24.888711291232539</v>
      </c>
      <c r="B40" s="3">
        <f>33873.37577-18212.65689*$F$9+4012.29597*$F$9^2-446.03783*$F$9^3+24.86825*$F$9^4-0.5547*$F$9^5</f>
        <v>267.5814457734341</v>
      </c>
      <c r="C40" s="3"/>
      <c r="D40" s="3"/>
      <c r="E40" s="7">
        <v>25</v>
      </c>
      <c r="F40" s="7" t="s">
        <v>51</v>
      </c>
      <c r="G40" s="11">
        <v>54.938000000000002</v>
      </c>
      <c r="H40" s="8">
        <v>0</v>
      </c>
      <c r="I40" s="14">
        <f>IF($F$9&lt;6.57,A40,B40)</f>
        <v>267.5814457734341</v>
      </c>
      <c r="J40" s="14">
        <f t="shared" ref="J40" si="14">$F$11*$H40*$G40</f>
        <v>0</v>
      </c>
      <c r="K40" s="14">
        <f>J40/$J$80*100</f>
        <v>0</v>
      </c>
      <c r="L40" s="14">
        <f t="shared" ref="L40" si="15">K40/100*I40</f>
        <v>0</v>
      </c>
    </row>
    <row r="41" spans="1:12" ht="15.95" customHeight="1" x14ac:dyDescent="0.25">
      <c r="A41" s="3">
        <f>4168.98457-2670.32866*$F$9+730.52383*$F$9^2-103.7974*$F$9^3+7.55558*$F$9^4-0.22364*$F$9^5</f>
        <v>34.187625981541714</v>
      </c>
      <c r="B41" s="3">
        <f>46698.64841-24369.53254*$F$9+5174.20632*$F$9^2-552.69183*$F$9^3+29.57136*$F$9^4-0.63276*$F$9^5</f>
        <v>298.84305411156674</v>
      </c>
      <c r="C41" s="3"/>
      <c r="D41" s="3"/>
      <c r="E41" s="7">
        <v>26</v>
      </c>
      <c r="F41" s="7" t="s">
        <v>52</v>
      </c>
      <c r="G41" s="11">
        <v>55.847000000000001</v>
      </c>
      <c r="H41" s="8">
        <v>0</v>
      </c>
      <c r="I41" s="14">
        <f>IF($F$9&lt;7.148,A41,B41)</f>
        <v>298.84305411156674</v>
      </c>
      <c r="J41" s="14">
        <f>$F$11*$H41*$G41</f>
        <v>0</v>
      </c>
      <c r="K41" s="14">
        <f>J41/$J$80*100</f>
        <v>0</v>
      </c>
      <c r="L41" s="14">
        <f t="shared" ref="L41" si="16">K41/100*I41</f>
        <v>0</v>
      </c>
    </row>
    <row r="42" spans="1:12" ht="15.95" customHeight="1" x14ac:dyDescent="0.25">
      <c r="A42" s="3">
        <f>4186.99868-2579.236*$F$9+677.54362*$F$9^2-92.28806*$F$9^3+6.4291*$F$9^4-0.18181*$F$9^5</f>
        <v>39.763226396180471</v>
      </c>
      <c r="B42" s="3">
        <f>14300.02198-4186.4687*$F$9+250.21543*$F$9^2+38.35911*$F$9^3-5.44112*$F$9^4+0.18778*$F$9^5</f>
        <v>322.81271937384554</v>
      </c>
      <c r="C42" s="3"/>
      <c r="D42" s="3"/>
      <c r="E42" s="7">
        <v>27</v>
      </c>
      <c r="F42" s="7" t="s">
        <v>53</v>
      </c>
      <c r="G42" s="11">
        <v>58.933199999999999</v>
      </c>
      <c r="H42" s="8">
        <v>0</v>
      </c>
      <c r="I42" s="14">
        <f>IF($F$9&lt;7.747,A42,B42)</f>
        <v>322.81271937384554</v>
      </c>
      <c r="J42" s="14">
        <f>$F$11*$H42*$G42</f>
        <v>0</v>
      </c>
      <c r="K42" s="14">
        <f>J42/$J$80*100</f>
        <v>0</v>
      </c>
      <c r="L42" s="14">
        <f>K42/100*I42</f>
        <v>0</v>
      </c>
    </row>
    <row r="43" spans="1:12" ht="15.95" customHeight="1" x14ac:dyDescent="0.25">
      <c r="A43" s="3">
        <f>4489.70805-2660.78865*$F$9+670.92731*$F$9^2-87.53511*$F$9^3+5.82915*$F$9^4-0.15727*$F$9^5</f>
        <v>46.809531911851082</v>
      </c>
      <c r="B43" s="3">
        <f>7475.81544-2046.6145*$F$9+196.86876*$F$9^2-6.48641*$F$9^3</f>
        <v>374.73131287062597</v>
      </c>
      <c r="C43" s="3"/>
      <c r="D43" s="3"/>
      <c r="E43" s="7">
        <v>28</v>
      </c>
      <c r="F43" s="7" t="s">
        <v>54</v>
      </c>
      <c r="G43" s="11">
        <v>58.69</v>
      </c>
      <c r="H43" s="8">
        <v>0</v>
      </c>
      <c r="I43" s="14">
        <f>IF($F$9&lt;8.374,A43,B43)</f>
        <v>46.809531911851082</v>
      </c>
      <c r="J43" s="14">
        <f>$F$11*$H43*$G43</f>
        <v>0</v>
      </c>
      <c r="K43" s="14">
        <f>J43/$J$80*100</f>
        <v>0</v>
      </c>
      <c r="L43" s="14">
        <f>K43/100*I43</f>
        <v>0</v>
      </c>
    </row>
    <row r="44" spans="1:12" ht="15.95" customHeight="1" x14ac:dyDescent="0.25">
      <c r="A44" s="3">
        <f>4011.30371-2228.59846*$F$9+527.00635*$F$9^2-64.49603*$F$9^3+4.02929*$F$9^4-0.102*$F$9^5</f>
        <v>49.79826645873618</v>
      </c>
      <c r="B44" s="3">
        <f>2510.50237-402.94212*$F$9+17.325*$F$9^2</f>
        <v>389.76970504000042</v>
      </c>
      <c r="C44" s="3"/>
      <c r="D44" s="3"/>
      <c r="E44" s="7">
        <v>29</v>
      </c>
      <c r="F44" s="7" t="s">
        <v>2</v>
      </c>
      <c r="G44" s="11">
        <v>63.545999999999999</v>
      </c>
      <c r="H44" s="8">
        <v>2</v>
      </c>
      <c r="I44" s="14">
        <f>IF($F$9&lt;9.03,A44,B44)</f>
        <v>49.79826645873618</v>
      </c>
      <c r="J44" s="14">
        <f>$F$11*$H44*$G44</f>
        <v>254.184</v>
      </c>
      <c r="K44" s="14">
        <f>J44/$J$80*100</f>
        <v>21.875225909058049</v>
      </c>
      <c r="L44" s="14">
        <f>K44/100*I44</f>
        <v>10.893483286643221</v>
      </c>
    </row>
    <row r="45" spans="1:12" ht="15.95" customHeight="1" x14ac:dyDescent="0.25">
      <c r="A45">
        <f>4979.79403-2867.70767*$F$9+701.97789*$F$9^2-88.72013*$F$9^3+5.70423*$F$9^4-0.14796*$F$9^5</f>
        <v>55.31895159879241</v>
      </c>
      <c r="B45">
        <f>2690.46038-421.76148*$F$9+17.62552*$F$9^2</f>
        <v>437.73427751808026</v>
      </c>
      <c r="E45" s="7">
        <v>30</v>
      </c>
      <c r="F45" s="7" t="s">
        <v>4</v>
      </c>
      <c r="G45" s="11">
        <v>65.38</v>
      </c>
      <c r="H45" s="8">
        <v>1</v>
      </c>
      <c r="I45" s="14">
        <f>IF($F$9&lt;9.65,A45,B45)</f>
        <v>55.31895159879241</v>
      </c>
      <c r="J45" s="14">
        <f>$F$11*$H45*$G45</f>
        <v>130.76</v>
      </c>
      <c r="K45" s="14">
        <f>J45/$J$80*100</f>
        <v>11.253283211643653</v>
      </c>
      <c r="L45" s="14">
        <f t="shared" si="7"/>
        <v>6.2251982931241852</v>
      </c>
    </row>
    <row r="46" spans="1:12" ht="15.95" customHeight="1" x14ac:dyDescent="0.25">
      <c r="E46" s="7">
        <v>31</v>
      </c>
      <c r="F46" s="7" t="s">
        <v>5</v>
      </c>
      <c r="G46" s="11">
        <v>69.722999999999999</v>
      </c>
      <c r="H46" s="8">
        <v>0</v>
      </c>
      <c r="I46" s="14">
        <f>3689.837-1862.187*$F$9+400.3825*$F$9^2-44.57252*$F$9^3+2.53367*$F$9^4-0.05837*$F$9^5</f>
        <v>59.963985127302976</v>
      </c>
      <c r="J46" s="14">
        <f>$F$11*$H46*$G46</f>
        <v>0</v>
      </c>
      <c r="K46" s="14">
        <f>J46/$J$80*100</f>
        <v>0</v>
      </c>
      <c r="L46" s="14">
        <f t="shared" si="7"/>
        <v>0</v>
      </c>
    </row>
    <row r="47" spans="1:12" ht="15.95" customHeight="1" x14ac:dyDescent="0.25">
      <c r="E47" s="7">
        <v>32</v>
      </c>
      <c r="F47" s="7" t="s">
        <v>6</v>
      </c>
      <c r="G47" s="11">
        <v>72.63</v>
      </c>
      <c r="H47" s="8">
        <v>1</v>
      </c>
      <c r="I47" s="14">
        <f>5326.57471-2966.8965*$F$9+698.56617*$F$9^2-84.2852*$F$9^3+5.13049*$F$9^4-0.12496*$F$9^5</f>
        <v>64.249238404797325</v>
      </c>
      <c r="J47" s="14">
        <f>$F$11*$H47*$G47</f>
        <v>145.26</v>
      </c>
      <c r="K47" s="14">
        <f>J47/$J$80*100</f>
        <v>12.501161818012827</v>
      </c>
      <c r="L47" s="14">
        <f t="shared" si="7"/>
        <v>8.031901259824556</v>
      </c>
    </row>
    <row r="48" spans="1:12" ht="15.95" customHeight="1" x14ac:dyDescent="0.25">
      <c r="E48" s="7">
        <v>33</v>
      </c>
      <c r="F48" s="7" t="s">
        <v>55</v>
      </c>
      <c r="G48" s="11">
        <v>74.921599999999998</v>
      </c>
      <c r="H48" s="8">
        <v>0</v>
      </c>
      <c r="I48" s="14">
        <f>3218.96196-1461.57028*$F$9+283.98076*$F$9^2-28.6648*$F$9^3+1.4815*$F$9^4-0.03112*$F$9^5</f>
        <v>72.099568914441761</v>
      </c>
      <c r="J48" s="14">
        <f>$F$11*$H48*$G48</f>
        <v>0</v>
      </c>
      <c r="K48" s="14">
        <f>J48/$J$80*100</f>
        <v>0</v>
      </c>
      <c r="L48" s="14">
        <f>K48/100*I48</f>
        <v>0</v>
      </c>
    </row>
    <row r="49" spans="5:12" ht="15.95" customHeight="1" x14ac:dyDescent="0.25">
      <c r="E49" s="7">
        <v>34</v>
      </c>
      <c r="F49" s="7" t="s">
        <v>9</v>
      </c>
      <c r="G49" s="11">
        <v>78.971000000000004</v>
      </c>
      <c r="H49" s="8">
        <v>4</v>
      </c>
      <c r="I49" s="14">
        <f>6896.80234-3994.2882*$F$9+976.69157*$F$9^2-122.26895*$F$9^3+7.71988*$F$9^4-0.19509*$F$9^5</f>
        <v>75.648622376017556</v>
      </c>
      <c r="J49" s="14">
        <f>$F$11*$H49*$G49</f>
        <v>631.76800000000003</v>
      </c>
      <c r="K49" s="14">
        <f>J49/$J$80*100</f>
        <v>54.370329061285474</v>
      </c>
      <c r="L49" s="14">
        <f t="shared" si="7"/>
        <v>41.130404916169979</v>
      </c>
    </row>
    <row r="50" spans="5:12" ht="15.95" customHeight="1" x14ac:dyDescent="0.25">
      <c r="E50" s="7">
        <v>35</v>
      </c>
      <c r="F50" s="7" t="s">
        <v>56</v>
      </c>
      <c r="G50" s="11">
        <v>79.903999999999996</v>
      </c>
      <c r="H50" s="8">
        <v>0</v>
      </c>
      <c r="I50" s="14">
        <f>6164.86917-3325.14807*$F$9+760.72752*$F$9^2-89.51232*$F$9^3+5.33696*$F$9^4-0.12796*$F$9^5</f>
        <v>85.689032459318696</v>
      </c>
      <c r="J50" s="14">
        <f>$F$11*$H50*$G50</f>
        <v>0</v>
      </c>
      <c r="K50" s="14">
        <f>J50/$J$80*100</f>
        <v>0</v>
      </c>
      <c r="L50" s="14">
        <f t="shared" ref="L50:L56" si="17">K50/100*I50</f>
        <v>0</v>
      </c>
    </row>
    <row r="51" spans="5:12" ht="15.95" customHeight="1" x14ac:dyDescent="0.25">
      <c r="E51" s="7">
        <v>36</v>
      </c>
      <c r="F51" s="7" t="s">
        <v>75</v>
      </c>
      <c r="G51" s="11">
        <v>83.8</v>
      </c>
      <c r="H51" s="8">
        <v>0</v>
      </c>
      <c r="I51" s="14">
        <f>5754.06687-2956.75108*$F$9+645.55472*$F$9^2-72.64623*$F$9^3+4.15256*$F$9^4-0.09571*$F$9^5</f>
        <v>91.846926679374974</v>
      </c>
      <c r="J51" s="14">
        <f>$F$11*$H51*$G51</f>
        <v>0</v>
      </c>
      <c r="K51" s="14">
        <f>J51/$J$80*100</f>
        <v>0</v>
      </c>
      <c r="L51" s="14">
        <f t="shared" si="17"/>
        <v>0</v>
      </c>
    </row>
    <row r="52" spans="5:12" ht="15.95" customHeight="1" x14ac:dyDescent="0.25">
      <c r="E52" s="7">
        <v>37</v>
      </c>
      <c r="F52" s="7" t="s">
        <v>76</v>
      </c>
      <c r="G52" s="11">
        <v>85.467799999999997</v>
      </c>
      <c r="H52" s="8">
        <v>0</v>
      </c>
      <c r="I52" s="14">
        <f>6053.60636-3053.63256*$F$9+653.79716*$F$9^2-72.1306*$F$9^3+4.04358*$F$9^4-0.09147*$F$9^5</f>
        <v>100.29545849929536</v>
      </c>
      <c r="J52" s="14">
        <f>$F$11*$H52*$G52</f>
        <v>0</v>
      </c>
      <c r="K52" s="14">
        <f>J52/$J$80*100</f>
        <v>0</v>
      </c>
      <c r="L52" s="14">
        <f t="shared" si="17"/>
        <v>0</v>
      </c>
    </row>
    <row r="53" spans="5:12" ht="15.95" customHeight="1" x14ac:dyDescent="0.25">
      <c r="E53" s="7">
        <v>38</v>
      </c>
      <c r="F53" s="7" t="s">
        <v>77</v>
      </c>
      <c r="G53" s="11">
        <v>87.62</v>
      </c>
      <c r="H53" s="8">
        <v>0</v>
      </c>
      <c r="I53" s="14">
        <f>6656.2043-3355.38552*$F$9+718.31747*$F$9^2-79.30753*$F$9^3+4.45378*$F$9^4-0.10103*$F$9^5</f>
        <v>110.35175111348508</v>
      </c>
      <c r="J53" s="14">
        <f>$F$11*$H53*$G53</f>
        <v>0</v>
      </c>
      <c r="K53" s="14">
        <f>J53/$J$80*100</f>
        <v>0</v>
      </c>
      <c r="L53" s="14">
        <f t="shared" si="17"/>
        <v>0</v>
      </c>
    </row>
    <row r="54" spans="5:12" ht="15.95" customHeight="1" x14ac:dyDescent="0.25">
      <c r="E54" s="7">
        <v>39</v>
      </c>
      <c r="F54" s="7" t="s">
        <v>78</v>
      </c>
      <c r="G54" s="11">
        <v>88.905900000000003</v>
      </c>
      <c r="H54" s="8">
        <v>0</v>
      </c>
      <c r="I54" s="14">
        <f>7227.09859-3635.15254*$F$9+777.15796*$F$9^2-85.76223*$F$9^3+4.81761*$F$9^4-0.10938*$F$9^5</f>
        <v>120.56347077051078</v>
      </c>
      <c r="J54" s="14">
        <f>$F$11*$H54*$G54</f>
        <v>0</v>
      </c>
      <c r="K54" s="14">
        <f>J54/$J$80*100</f>
        <v>0</v>
      </c>
      <c r="L54" s="14">
        <f t="shared" si="17"/>
        <v>0</v>
      </c>
    </row>
    <row r="55" spans="5:12" ht="15.95" customHeight="1" x14ac:dyDescent="0.25">
      <c r="E55" s="7">
        <v>40</v>
      </c>
      <c r="F55" s="7" t="s">
        <v>79</v>
      </c>
      <c r="G55" s="11">
        <v>91.22</v>
      </c>
      <c r="H55" s="8">
        <v>0</v>
      </c>
      <c r="I55" s="14">
        <f>7850.88422-3964.46799*$F$9+851.6243*$F$9^2-94.49124*$F$9^3+5.33907*$F$9^4-0.12195*$F$9^5</f>
        <v>130.26773742626665</v>
      </c>
      <c r="J55" s="14">
        <f>$F$11*$H55*$G55</f>
        <v>0</v>
      </c>
      <c r="K55" s="14">
        <f>J55/$J$80*100</f>
        <v>0</v>
      </c>
      <c r="L55" s="14">
        <f t="shared" si="17"/>
        <v>0</v>
      </c>
    </row>
    <row r="56" spans="5:12" ht="15.95" customHeight="1" x14ac:dyDescent="0.25">
      <c r="E56" s="7">
        <v>41</v>
      </c>
      <c r="F56" s="7" t="s">
        <v>80</v>
      </c>
      <c r="G56" s="11">
        <v>92.906400000000005</v>
      </c>
      <c r="H56" s="8">
        <v>0</v>
      </c>
      <c r="I56" s="14">
        <f>8194.93182-4085.21746*$F$9+866.87884*$F$9^2-95.05696*$F$9^3+5.30998*$F$9^4-0.11994*$F$9^5</f>
        <v>141.49643649431482</v>
      </c>
      <c r="J56" s="14">
        <f>$F$11*$H56*$G56</f>
        <v>0</v>
      </c>
      <c r="K56" s="14">
        <f>J56/$J$80*100</f>
        <v>0</v>
      </c>
      <c r="L56" s="14">
        <f t="shared" si="17"/>
        <v>0</v>
      </c>
    </row>
    <row r="57" spans="5:12" ht="15.95" customHeight="1" x14ac:dyDescent="0.25">
      <c r="E57" s="7">
        <v>42</v>
      </c>
      <c r="F57" s="7" t="s">
        <v>11</v>
      </c>
      <c r="G57" s="11">
        <v>95.95</v>
      </c>
      <c r="H57" s="8">
        <v>0</v>
      </c>
      <c r="I57" s="14">
        <f>10765.2164-5840.4724*$F$9+1348.09278*$F$9^2-160.41943*$F$9^3+9.68901*$F$9^4-0.23555*$F$9^5</f>
        <v>149.81888520160101</v>
      </c>
      <c r="J57" s="14">
        <f>$F$11*$H57*$G57</f>
        <v>0</v>
      </c>
      <c r="K57" s="14">
        <f>J57/$J$80*100</f>
        <v>0</v>
      </c>
      <c r="L57" s="14">
        <f t="shared" si="7"/>
        <v>0</v>
      </c>
    </row>
    <row r="58" spans="5:12" ht="15.95" customHeight="1" x14ac:dyDescent="0.25">
      <c r="E58" s="7">
        <v>43</v>
      </c>
      <c r="F58" s="7" t="s">
        <v>86</v>
      </c>
      <c r="G58" s="11">
        <v>98</v>
      </c>
      <c r="H58" s="64"/>
      <c r="I58" s="65"/>
      <c r="J58" s="65"/>
      <c r="K58" s="65"/>
      <c r="L58" s="65"/>
    </row>
    <row r="59" spans="5:12" ht="15.95" customHeight="1" x14ac:dyDescent="0.25">
      <c r="E59" s="7">
        <v>44</v>
      </c>
      <c r="F59" s="7" t="s">
        <v>81</v>
      </c>
      <c r="G59" s="11">
        <v>101.07</v>
      </c>
      <c r="H59" s="8">
        <v>0</v>
      </c>
      <c r="I59" s="14">
        <f>8291.84875-3930.41655*$F$9+799.31581*$F$9^2-84.56005*$F$9^3+4.58336*$F$9^4-0.10096*$F$9^5</f>
        <v>172.42150761435596</v>
      </c>
      <c r="J59" s="14">
        <f>$F$11*$H59*$G59</f>
        <v>0</v>
      </c>
      <c r="K59" s="14">
        <f>J59/$J$80*100</f>
        <v>0</v>
      </c>
      <c r="L59" s="14">
        <f t="shared" ref="L59" si="18">K59/100*I59</f>
        <v>0</v>
      </c>
    </row>
    <row r="60" spans="5:12" ht="15.95" customHeight="1" x14ac:dyDescent="0.25">
      <c r="E60" s="7">
        <v>45</v>
      </c>
      <c r="F60" s="7" t="s">
        <v>82</v>
      </c>
      <c r="G60" s="11">
        <v>102.9055</v>
      </c>
      <c r="H60" s="8">
        <v>0</v>
      </c>
      <c r="I60" s="14">
        <f>9703.24697-4791.90258*$F$9+1016.6387*$F$9^2-112.17811*$F$9^3+6.33352*$F$9^4-0.14501*$F$9^5</f>
        <v>185.1464731789074</v>
      </c>
      <c r="J60" s="14">
        <f>$F$11*$H60*$G60</f>
        <v>0</v>
      </c>
      <c r="K60" s="14">
        <f>J60/$J$80*100</f>
        <v>0</v>
      </c>
      <c r="L60" s="14">
        <f t="shared" ref="L60" si="19">K60/100*I60</f>
        <v>0</v>
      </c>
    </row>
    <row r="61" spans="5:12" ht="15.95" customHeight="1" x14ac:dyDescent="0.25">
      <c r="E61" s="7">
        <v>46</v>
      </c>
      <c r="F61" s="7" t="s">
        <v>83</v>
      </c>
      <c r="G61" s="11">
        <v>106.42</v>
      </c>
      <c r="H61" s="8">
        <v>0</v>
      </c>
      <c r="I61" s="14">
        <f>10953.72674-5592.45432*$F$9+1225.35553*$F$9^2-139.28374*$F$9^3+8.07482*$F$9^4-0.18919*$F$9^5</f>
        <v>195.49155752683419</v>
      </c>
      <c r="J61" s="14">
        <f>$F$11*$H61*$G61</f>
        <v>0</v>
      </c>
      <c r="K61" s="14">
        <f>J61/$J$80*100</f>
        <v>0</v>
      </c>
      <c r="L61" s="14">
        <f t="shared" ref="L61" si="20">K61/100*I61</f>
        <v>0</v>
      </c>
    </row>
    <row r="62" spans="5:12" ht="15.95" customHeight="1" x14ac:dyDescent="0.25">
      <c r="E62" s="7">
        <v>47</v>
      </c>
      <c r="F62" s="7" t="s">
        <v>84</v>
      </c>
      <c r="G62" s="11">
        <v>107.8682</v>
      </c>
      <c r="H62" s="8">
        <v>0</v>
      </c>
      <c r="I62" s="14">
        <f>12312.91652-6342.21994*$F$9+1395.78159*$F$9^2-158.80145*$F$9^3+9.19109*$F$9^4-0.21461*$F$9^5</f>
        <v>209.80537708691463</v>
      </c>
      <c r="J62" s="14">
        <f>$F$11*$H62*$G62</f>
        <v>0</v>
      </c>
      <c r="K62" s="14">
        <f>J62/$J$80*100</f>
        <v>0</v>
      </c>
      <c r="L62" s="14">
        <f t="shared" ref="L62" si="21">K62/100*I62</f>
        <v>0</v>
      </c>
    </row>
    <row r="63" spans="5:12" ht="15.95" customHeight="1" x14ac:dyDescent="0.25">
      <c r="E63" s="7">
        <v>48</v>
      </c>
      <c r="F63" s="7" t="s">
        <v>57</v>
      </c>
      <c r="G63" s="11">
        <v>112.41</v>
      </c>
      <c r="H63" s="8">
        <v>0</v>
      </c>
      <c r="I63" s="14">
        <f>13143.71114-6793.07725*$F$9+1496.67704*$F$9^2-170.20721*$F$9^3+9.83742*$F$9^4-0.22925*$F$9^5</f>
        <v>218.82243758613185</v>
      </c>
      <c r="J63" s="14">
        <f>$F$11*$H63*$G63</f>
        <v>0</v>
      </c>
      <c r="K63" s="14">
        <f>J63/$J$80*100</f>
        <v>0</v>
      </c>
      <c r="L63" s="14">
        <f>K63/100*I63</f>
        <v>0</v>
      </c>
    </row>
    <row r="64" spans="5:12" ht="15.95" customHeight="1" x14ac:dyDescent="0.25">
      <c r="E64" s="7">
        <v>49</v>
      </c>
      <c r="F64" s="7" t="s">
        <v>14</v>
      </c>
      <c r="G64" s="11">
        <v>114.818</v>
      </c>
      <c r="H64" s="8">
        <v>0</v>
      </c>
      <c r="I64" s="14">
        <f>11127.64281-5306.17803*$F$9+1082.76303*$F$9^2-114.48251*$F$9^3+6.17525*$F$9^4-0.13483*$F$9^5</f>
        <v>232.06193398864343</v>
      </c>
      <c r="J64" s="14">
        <f>$F$11*$H64*$G64</f>
        <v>0</v>
      </c>
      <c r="K64" s="14">
        <f>J64/$J$80*100</f>
        <v>0</v>
      </c>
      <c r="L64" s="14">
        <f t="shared" si="7"/>
        <v>0</v>
      </c>
    </row>
    <row r="65" spans="1:12" ht="15.95" customHeight="1" x14ac:dyDescent="0.25">
      <c r="E65" s="7">
        <v>50</v>
      </c>
      <c r="F65" s="7" t="s">
        <v>15</v>
      </c>
      <c r="G65" s="11">
        <v>118.71</v>
      </c>
      <c r="H65" s="9">
        <v>0</v>
      </c>
      <c r="I65" s="14">
        <f>9772.82406-4345.97401*$F$9+825.30181*$F$9^2-81.00435*$F$9^3+4.04466*$F$9^4-0.0815*$F$9^5</f>
        <v>242.67233772038571</v>
      </c>
      <c r="J65" s="14">
        <f>$F$11*$H65*$G65</f>
        <v>0</v>
      </c>
      <c r="K65" s="14">
        <f>J65/$J$80*100</f>
        <v>0</v>
      </c>
      <c r="L65" s="14">
        <f>K65/100*I65</f>
        <v>0</v>
      </c>
    </row>
    <row r="66" spans="1:12" ht="15.95" customHeight="1" x14ac:dyDescent="0.25">
      <c r="E66" s="7">
        <v>51</v>
      </c>
      <c r="F66" s="7" t="s">
        <v>85</v>
      </c>
      <c r="G66" s="11">
        <v>121.75</v>
      </c>
      <c r="H66" s="9">
        <v>0</v>
      </c>
      <c r="I66" s="14">
        <f>9858.60302-4363.13649*$F$9+830.05629*$F$9^2-82.18796*$F$9^3+4.17063*$F$9^4-0.08608*$F$9^5</f>
        <v>255.12897940999756</v>
      </c>
      <c r="J66" s="14">
        <f>$F$11*$H66*$G66</f>
        <v>0</v>
      </c>
      <c r="K66" s="14">
        <f>J66/$J$80*100</f>
        <v>0</v>
      </c>
      <c r="L66" s="14">
        <f>K66/100*I66</f>
        <v>0</v>
      </c>
    </row>
    <row r="67" spans="1:12" ht="15.95" customHeight="1" x14ac:dyDescent="0.25">
      <c r="E67" s="7">
        <v>52</v>
      </c>
      <c r="F67" s="7" t="s">
        <v>60</v>
      </c>
      <c r="G67" s="11">
        <v>127.6</v>
      </c>
      <c r="H67" s="9">
        <v>0</v>
      </c>
      <c r="I67" s="14">
        <f>12253.82511-5968.7118*$F$9+1258.98091*$F$9^2-138.82712*$F$9^3+7.85974*$F$9^4-0.18087*$F$9^5</f>
        <v>262.02419740634468</v>
      </c>
      <c r="J67" s="14">
        <f>$F$11*$H67*$G67</f>
        <v>0</v>
      </c>
      <c r="K67" s="14">
        <f>J67/$J$80*100</f>
        <v>0</v>
      </c>
      <c r="L67" s="14">
        <f>K67/100*I67</f>
        <v>0</v>
      </c>
    </row>
    <row r="68" spans="1:12" ht="15.95" customHeight="1" x14ac:dyDescent="0.25">
      <c r="E68" s="7">
        <v>53</v>
      </c>
      <c r="F68" s="7" t="s">
        <v>87</v>
      </c>
      <c r="G68" s="11">
        <v>126.9045</v>
      </c>
      <c r="H68" s="9">
        <v>0</v>
      </c>
      <c r="I68" s="14">
        <f>-16878.19572+13021.42852*$F$9-3620.01221*$F$9^2+480.15821*$F$9^3-30.9589*$F$9^4+0.78252*$F$9^5</f>
        <v>283.32726641437694</v>
      </c>
      <c r="J68" s="14">
        <f>$F$11*$H68*$G68</f>
        <v>0</v>
      </c>
      <c r="K68" s="14">
        <f>J68/$J$80*100</f>
        <v>0</v>
      </c>
      <c r="L68" s="14">
        <f>K68/100*I68</f>
        <v>0</v>
      </c>
    </row>
    <row r="69" spans="1:12" ht="15.95" customHeight="1" x14ac:dyDescent="0.25">
      <c r="E69" s="7">
        <v>54</v>
      </c>
      <c r="F69" s="7" t="s">
        <v>88</v>
      </c>
      <c r="G69" s="11">
        <v>131.29</v>
      </c>
      <c r="H69" s="9">
        <v>0</v>
      </c>
      <c r="I69" s="14">
        <f>2496.19461-440.96915*$F$9+20.80511*$F$9^2</f>
        <v>294.82819025343974</v>
      </c>
      <c r="J69" s="14">
        <f>$F$11*$H69*$G69</f>
        <v>0</v>
      </c>
      <c r="K69" s="14">
        <f>J69/$J$80*100</f>
        <v>0</v>
      </c>
      <c r="L69" s="14">
        <f>K69/100*I69</f>
        <v>0</v>
      </c>
    </row>
    <row r="70" spans="1:12" ht="15.95" customHeight="1" x14ac:dyDescent="0.25">
      <c r="A70" s="3">
        <f>1899.14304-562.49855*$F$9+45.15487*$F$9^2</f>
        <v>296.84936658047945</v>
      </c>
      <c r="B70" s="3">
        <f>8619.38106-2718.36767*$F$9+226.48834*$F$9^2</f>
        <v>1411.6766860953576</v>
      </c>
      <c r="C70" s="3">
        <f>8274.36028-2364.73043*$F$9+180.14039*$F$9^2</f>
        <v>910.75760233855908</v>
      </c>
      <c r="D70" s="3">
        <f>13751.32705-6606.45346*$F$9+1374.88931*$F$9^2-149.42162*$F$9^3+8.32458*$F$9^4-0.18822*$F$9^5</f>
        <v>313.72945437823273</v>
      </c>
      <c r="E70" s="66">
        <v>55</v>
      </c>
      <c r="F70" s="7" t="s">
        <v>89</v>
      </c>
      <c r="G70" s="11">
        <v>132.90539999999999</v>
      </c>
      <c r="H70" s="9">
        <v>0</v>
      </c>
      <c r="I70" s="14">
        <f>IF($F$9&lt;5.007,A70,IF($F$9&lt;5.354,B70,IF($F$9&lt;5.708,C70,IF($F$9&gt;5.708,D70))))</f>
        <v>313.72945437823273</v>
      </c>
      <c r="J70" s="14">
        <f>$F$11*$H70*$G70</f>
        <v>0</v>
      </c>
      <c r="K70" s="14">
        <f>J70/$J$80*100</f>
        <v>0</v>
      </c>
      <c r="L70" s="14">
        <f>K70/100*I70</f>
        <v>0</v>
      </c>
    </row>
    <row r="71" spans="1:12" ht="15.95" customHeight="1" x14ac:dyDescent="0.25">
      <c r="A71" s="3">
        <f>1806.34021-513.61129*$F$9+39.58091*$F$9^2</f>
        <v>236.46412137663947</v>
      </c>
      <c r="B71" s="3">
        <f>7866.94521-2366.13553*$F$9+188.10872*$F$9^2</f>
        <v>1008.1454440108791</v>
      </c>
      <c r="C71" s="3">
        <f>7377.28286-1997.17587*$F$9+144.29697*$F$9^2</f>
        <v>650.17007141887734</v>
      </c>
      <c r="D71" s="3">
        <f>13626.67091-6420.54771*$F$9+1308.65583*$F$9^2-139.13485*$F$9^3+7.57725*$F$9^4-0.1674*$F$9^5</f>
        <v>325.2299097436935</v>
      </c>
      <c r="E71" s="66">
        <v>56</v>
      </c>
      <c r="F71" s="7" t="s">
        <v>91</v>
      </c>
      <c r="G71" s="11">
        <v>137.33000000000001</v>
      </c>
      <c r="H71" s="9">
        <v>0</v>
      </c>
      <c r="I71" s="14">
        <f>IF($F$9&lt;5.241,A71,IF($F$9&lt;5.618,B71,IF($F$9&lt;5.983,C71,IF($F$9&gt;5.983,D71))))</f>
        <v>325.2299097436935</v>
      </c>
      <c r="J71" s="14">
        <f>$F$11*$H71*$G71</f>
        <v>0</v>
      </c>
      <c r="K71" s="14">
        <f>J71/$J$80*100</f>
        <v>0</v>
      </c>
      <c r="L71" s="14">
        <f>K71/100*I71</f>
        <v>0</v>
      </c>
    </row>
    <row r="72" spans="1:12" ht="15.95" customHeight="1" x14ac:dyDescent="0.25">
      <c r="A72" s="3">
        <f>1726.28589-469.90298*$F$9+34.68245*$F$9^2</f>
        <v>190.89953692480003</v>
      </c>
      <c r="B72" s="3">
        <f>5063.83193-1339.27747*$F$9+95.23221*$F$9^2</f>
        <v>453.54604373183975</v>
      </c>
      <c r="C72" s="3">
        <f>5559.69724-1358.15739*$F$9+89.38998*$F$9^2</f>
        <v>419.06274443391885</v>
      </c>
      <c r="D72" s="3">
        <f>9672.49453-3803.98651*$F$9+638.45509*$F$9^2-54.97874*$F$9^3+2.37066*$F$9^4-0.04012*$F$9^5</f>
        <v>342.90291805926358</v>
      </c>
      <c r="E72" s="66">
        <v>57</v>
      </c>
      <c r="F72" s="7" t="s">
        <v>92</v>
      </c>
      <c r="G72" s="11">
        <v>138.90549999999999</v>
      </c>
      <c r="H72" s="9">
        <v>0</v>
      </c>
      <c r="I72" s="14">
        <f>IF($F$9&lt;5.477,A72,IF($F$9&lt;5.885,B72,IF($F$9&lt;6.26,C72,IF($F$9&gt;6.26,D72))))</f>
        <v>342.90291805926358</v>
      </c>
      <c r="J72" s="14">
        <f>$F$11*$H72*$G72</f>
        <v>0</v>
      </c>
      <c r="K72" s="14">
        <f>J72/$J$80*100</f>
        <v>0</v>
      </c>
      <c r="L72" s="14">
        <f>K72/100*I72</f>
        <v>0</v>
      </c>
    </row>
    <row r="73" spans="1:12" ht="15.95" customHeight="1" x14ac:dyDescent="0.25">
      <c r="A73" s="3">
        <f>1731.94516-460.04171*$F$9+33.15206*$F$9^2</f>
        <v>176.79848234623955</v>
      </c>
      <c r="B73" s="3">
        <f>6683.39072-1823.36532*$F$9+131.77593*$F$9^2</f>
        <v>544.11367062271802</v>
      </c>
      <c r="C73" s="3">
        <f>5467.55426-1295.54077*$F$9+82.64139*$F$9^2</f>
        <v>393.75009632255933</v>
      </c>
      <c r="D73" s="3">
        <f>9231.20048-3515.57779*$F$9+572.36193*$F$9^2-47.72912*$F$9^3+1.97939*$F$9^4-0.03171*$F$9^5</f>
        <v>363.36096409682887</v>
      </c>
      <c r="E73" s="66">
        <v>58</v>
      </c>
      <c r="F73" s="7" t="s">
        <v>93</v>
      </c>
      <c r="G73" s="11">
        <v>140.12</v>
      </c>
      <c r="H73" s="9">
        <v>0</v>
      </c>
      <c r="I73" s="14">
        <f>IF($F$9&lt;5.7177,A73,IF($F$9&lt;6.158,B73,IF($F$9&lt;6.54225,C73,IF($F$9&gt;6.54225,D73))))</f>
        <v>363.36096409682887</v>
      </c>
      <c r="J73" s="14">
        <f>$F$11*$H73*$G73</f>
        <v>0</v>
      </c>
      <c r="K73" s="14">
        <f>J73/$J$80*100</f>
        <v>0</v>
      </c>
      <c r="L73" s="14">
        <f>K73/100*I73</f>
        <v>0</v>
      </c>
    </row>
    <row r="74" spans="1:12" ht="15.95" customHeight="1" x14ac:dyDescent="0.25">
      <c r="A74" s="3"/>
      <c r="B74" s="3"/>
      <c r="C74" s="3"/>
      <c r="D74" s="3"/>
      <c r="E74" s="66">
        <v>74</v>
      </c>
      <c r="F74" s="7" t="s">
        <v>96</v>
      </c>
      <c r="G74" s="11">
        <v>183.85</v>
      </c>
      <c r="H74" s="9">
        <v>0</v>
      </c>
      <c r="I74" s="14">
        <f>8036.08199-3975.73046*$F$9+841.7801*$F$9^2-92.25767*$F$9^3+5.15648*$F$9^4-0.11671*$F$9^5</f>
        <v>162.42697455038251</v>
      </c>
      <c r="J74" s="14">
        <f>$F$11*$H74*$G74</f>
        <v>0</v>
      </c>
      <c r="K74" s="14">
        <f>J74/$J$80*100</f>
        <v>0</v>
      </c>
      <c r="L74" s="14">
        <f t="shared" ref="L74" si="22">K74/100*I74</f>
        <v>0</v>
      </c>
    </row>
    <row r="75" spans="1:12" ht="15.95" customHeight="1" x14ac:dyDescent="0.25">
      <c r="A75" s="3"/>
      <c r="B75" s="3"/>
      <c r="C75" s="3"/>
      <c r="D75" s="3"/>
      <c r="E75" s="66">
        <v>78</v>
      </c>
      <c r="F75" s="7" t="s">
        <v>97</v>
      </c>
      <c r="G75" s="11">
        <v>195.08</v>
      </c>
      <c r="H75" s="9">
        <v>0</v>
      </c>
      <c r="I75" s="14">
        <f>8873.98397-4346.20294*$F$9+917.26176*$F$9^2-100.84346*$F$9^3+5.6846*$F$9^4-0.1303*$F$9^5</f>
        <v>188.93670464111347</v>
      </c>
      <c r="J75" s="14">
        <f>$F$11*$H75*$G75</f>
        <v>0</v>
      </c>
      <c r="K75" s="14">
        <f>J75/$J$80*100</f>
        <v>0</v>
      </c>
      <c r="L75" s="14">
        <f t="shared" ref="L75" si="23">K75/100*I75</f>
        <v>0</v>
      </c>
    </row>
    <row r="76" spans="1:12" ht="15.95" customHeight="1" x14ac:dyDescent="0.25">
      <c r="A76" s="3"/>
      <c r="B76" s="3"/>
      <c r="C76" s="3"/>
      <c r="D76" s="3"/>
      <c r="E76" s="66">
        <v>79</v>
      </c>
      <c r="F76" s="7" t="s">
        <v>98</v>
      </c>
      <c r="G76" s="11">
        <v>196.9665</v>
      </c>
      <c r="H76" s="9">
        <v>0</v>
      </c>
      <c r="I76" s="14">
        <f>9500.77481-4715.04188*$F$9+1008.94673*$F$9^2-112.46017*$F$9^3+6.42324*$F$9^4-0.14902*$F$9^5</f>
        <v>197.01157100034197</v>
      </c>
      <c r="J76" s="14">
        <f>$F$11*$H76*$G76</f>
        <v>0</v>
      </c>
      <c r="K76" s="14">
        <f>J76/$J$80*100</f>
        <v>0</v>
      </c>
      <c r="L76" s="14">
        <f t="shared" ref="L76" si="24">K76/100*I76</f>
        <v>0</v>
      </c>
    </row>
    <row r="77" spans="1:12" ht="15.95" customHeight="1" x14ac:dyDescent="0.25">
      <c r="A77" s="3"/>
      <c r="B77" s="3"/>
      <c r="C77" s="3"/>
      <c r="D77" s="3"/>
      <c r="E77" s="66">
        <v>80</v>
      </c>
      <c r="F77" s="7" t="s">
        <v>99</v>
      </c>
      <c r="G77" s="11">
        <v>200.59</v>
      </c>
      <c r="H77" s="9">
        <v>0</v>
      </c>
      <c r="I77" s="14">
        <f>10101.31473-5063.22782*$F$9+1092.78426*$F$9^2-122.65687*$F$9^3+7.04268*$F$9^4-0.16398*$F$9^5</f>
        <v>203.8620092991423</v>
      </c>
      <c r="J77" s="14">
        <f>$F$11*$H77*$G77</f>
        <v>0</v>
      </c>
      <c r="K77" s="14">
        <f>J77/$J$80*100</f>
        <v>0</v>
      </c>
      <c r="L77" s="14">
        <f t="shared" ref="L77" si="25">K77/100*I77</f>
        <v>0</v>
      </c>
    </row>
    <row r="78" spans="1:12" ht="15.95" customHeight="1" x14ac:dyDescent="0.25">
      <c r="A78" s="3"/>
      <c r="B78" s="3"/>
      <c r="C78" s="3"/>
      <c r="D78" s="3"/>
      <c r="E78" s="7">
        <v>82</v>
      </c>
      <c r="F78" s="7" t="s">
        <v>58</v>
      </c>
      <c r="G78" s="11">
        <v>207.2</v>
      </c>
      <c r="H78" s="9">
        <v>0</v>
      </c>
      <c r="I78" s="14">
        <f>10122.49198-4908.6959*$F$9+1021.60753*$F$9^2-110.28817*$F$9^3+6.08011*$F$9^4-0.13582*$F$9^5</f>
        <v>218.62059954178039</v>
      </c>
      <c r="J78" s="14">
        <f>$F$11*$H78*$G78</f>
        <v>0</v>
      </c>
      <c r="K78" s="14">
        <f>J78/$J$80*100</f>
        <v>0</v>
      </c>
      <c r="L78" s="14">
        <f>K78/100*I78</f>
        <v>0</v>
      </c>
    </row>
    <row r="79" spans="1:12" ht="15.95" customHeight="1" x14ac:dyDescent="0.25">
      <c r="E79" s="7">
        <v>83</v>
      </c>
      <c r="F79" s="7" t="s">
        <v>100</v>
      </c>
      <c r="G79" s="11">
        <v>208.9804</v>
      </c>
      <c r="H79" s="9">
        <v>0</v>
      </c>
      <c r="I79" s="14">
        <f>9842.26779-4655.45653*$F$9+946.03829*$F$9^2-99.82453*$F$9^3+5.38559*$F$9^4-0.11791*$F$9^5</f>
        <v>227.26928265826427</v>
      </c>
      <c r="J79" s="14">
        <f>$F$11*$H79*$G79</f>
        <v>0</v>
      </c>
      <c r="K79" s="14">
        <f>J79/$J$80*100</f>
        <v>0</v>
      </c>
      <c r="L79" s="14">
        <f>K79/100*I79</f>
        <v>0</v>
      </c>
    </row>
    <row r="80" spans="1:12" ht="15.95" customHeight="1" x14ac:dyDescent="0.25">
      <c r="E80" s="73" t="s">
        <v>25</v>
      </c>
      <c r="F80" s="74"/>
      <c r="G80" s="72"/>
      <c r="H80" s="67">
        <f>SUM(H16:H79)</f>
        <v>8</v>
      </c>
      <c r="I80" s="68"/>
      <c r="J80" s="69">
        <f>SUM(J16:J79)</f>
        <v>1161.972</v>
      </c>
      <c r="K80" s="70">
        <f>SUM(K16:K79)</f>
        <v>100</v>
      </c>
      <c r="L80" s="71">
        <f>SUM(L16:L79)</f>
        <v>66.280987755761942</v>
      </c>
    </row>
    <row r="83" spans="5:11" ht="15.95" customHeight="1" x14ac:dyDescent="0.25">
      <c r="E83" t="s">
        <v>90</v>
      </c>
    </row>
    <row r="84" spans="5:11" ht="15.95" customHeight="1" x14ac:dyDescent="0.25">
      <c r="F84" s="34" t="s">
        <v>59</v>
      </c>
      <c r="G84" s="35"/>
      <c r="H84" s="35"/>
      <c r="I84" s="35"/>
      <c r="J84" s="36"/>
    </row>
    <row r="85" spans="5:11" ht="15.95" customHeight="1" x14ac:dyDescent="0.25">
      <c r="F85" s="37"/>
      <c r="G85" s="38"/>
      <c r="H85" s="38"/>
      <c r="I85" s="38"/>
      <c r="J85" s="39"/>
    </row>
    <row r="86" spans="5:11" ht="15.95" customHeight="1" x14ac:dyDescent="0.25">
      <c r="F86" s="37"/>
      <c r="G86" s="38"/>
      <c r="H86" s="38"/>
      <c r="I86" s="38"/>
      <c r="J86" s="39"/>
    </row>
    <row r="87" spans="5:11" ht="15.95" customHeight="1" x14ac:dyDescent="0.25">
      <c r="F87" s="37"/>
      <c r="G87" s="38"/>
      <c r="H87" s="38"/>
      <c r="I87" s="38"/>
      <c r="J87" s="39"/>
      <c r="K87" s="29"/>
    </row>
    <row r="88" spans="5:11" ht="15.95" customHeight="1" x14ac:dyDescent="0.25">
      <c r="F88" s="37"/>
      <c r="G88" s="38"/>
      <c r="H88" s="38"/>
      <c r="I88" s="38"/>
      <c r="J88" s="39"/>
      <c r="K88" s="29"/>
    </row>
    <row r="89" spans="5:11" ht="15.95" customHeight="1" x14ac:dyDescent="0.25">
      <c r="F89" s="37"/>
      <c r="G89" s="38"/>
      <c r="H89" s="38"/>
      <c r="I89" s="38"/>
      <c r="J89" s="39"/>
    </row>
    <row r="90" spans="5:11" ht="15.95" customHeight="1" x14ac:dyDescent="0.25">
      <c r="F90" s="37"/>
      <c r="G90" s="38"/>
      <c r="H90" s="38"/>
      <c r="I90" s="38"/>
      <c r="J90" s="39"/>
    </row>
    <row r="91" spans="5:11" ht="15.95" customHeight="1" x14ac:dyDescent="0.25">
      <c r="F91" s="37"/>
      <c r="G91" s="38"/>
      <c r="H91" s="38"/>
      <c r="I91" s="38"/>
      <c r="J91" s="39"/>
    </row>
    <row r="92" spans="5:11" ht="15.95" customHeight="1" x14ac:dyDescent="0.25">
      <c r="F92" s="37"/>
      <c r="G92" s="38"/>
      <c r="H92" s="38"/>
      <c r="I92" s="38"/>
      <c r="J92" s="39"/>
    </row>
    <row r="93" spans="5:11" ht="15.95" customHeight="1" x14ac:dyDescent="0.25">
      <c r="F93" s="40"/>
      <c r="G93" s="41"/>
      <c r="H93" s="41"/>
      <c r="I93" s="41"/>
      <c r="J93" s="42"/>
    </row>
    <row r="94" spans="5:11" ht="15.95" customHeight="1" x14ac:dyDescent="0.25">
      <c r="H94" s="16"/>
    </row>
  </sheetData>
  <mergeCells count="6">
    <mergeCell ref="F84:J93"/>
    <mergeCell ref="E1:H1"/>
    <mergeCell ref="N28:N31"/>
    <mergeCell ref="O28:O31"/>
    <mergeCell ref="E5:H6"/>
    <mergeCell ref="J4:K4"/>
  </mergeCells>
  <conditionalFormatting sqref="F16:F17">
    <cfRule type="expression" dxfId="11" priority="16">
      <formula>H16&gt;0</formula>
    </cfRule>
  </conditionalFormatting>
  <conditionalFormatting sqref="F27:F64">
    <cfRule type="expression" dxfId="10" priority="15">
      <formula>H27&gt;0</formula>
    </cfRule>
  </conditionalFormatting>
  <conditionalFormatting sqref="F79">
    <cfRule type="expression" dxfId="9" priority="12">
      <formula>H79&gt;0</formula>
    </cfRule>
  </conditionalFormatting>
  <conditionalFormatting sqref="H16:H17 H79 H27:H64">
    <cfRule type="cellIs" dxfId="8" priority="9" operator="greaterThan">
      <formula>0</formula>
    </cfRule>
  </conditionalFormatting>
  <conditionalFormatting sqref="F65:F77">
    <cfRule type="expression" dxfId="7" priority="8">
      <formula>H65&gt;0</formula>
    </cfRule>
  </conditionalFormatting>
  <conditionalFormatting sqref="H65:H77">
    <cfRule type="cellIs" dxfId="6" priority="7" operator="greaterThan">
      <formula>0</formula>
    </cfRule>
  </conditionalFormatting>
  <conditionalFormatting sqref="F23:F26">
    <cfRule type="expression" dxfId="5" priority="6">
      <formula>H23&gt;0</formula>
    </cfRule>
  </conditionalFormatting>
  <conditionalFormatting sqref="H23:H26">
    <cfRule type="cellIs" dxfId="4" priority="5" operator="greaterThan">
      <formula>0</formula>
    </cfRule>
  </conditionalFormatting>
  <conditionalFormatting sqref="F18:F22">
    <cfRule type="expression" dxfId="3" priority="4">
      <formula>H18&gt;0</formula>
    </cfRule>
  </conditionalFormatting>
  <conditionalFormatting sqref="H18:H22">
    <cfRule type="cellIs" dxfId="2" priority="3" operator="greaterThan">
      <formula>0</formula>
    </cfRule>
  </conditionalFormatting>
  <conditionalFormatting sqref="F78">
    <cfRule type="expression" dxfId="1" priority="2">
      <formula>H78&gt;0</formula>
    </cfRule>
  </conditionalFormatting>
  <conditionalFormatting sqref="H78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I68 I72" formula="1"/>
  </ignoredErrors>
  <drawing r:id="rId2"/>
  <legacyDrawing r:id="rId3"/>
  <controls>
    <mc:AlternateContent xmlns:mc="http://schemas.openxmlformats.org/markup-compatibility/2006">
      <mc:Choice Requires="x14">
        <control shapeId="2051" r:id="rId4" name="SpinButton1">
          <controlPr autoLine="0" linkedCell="M29" r:id="rId5">
            <anchor moveWithCells="1">
              <from>
                <xdr:col>12</xdr:col>
                <xdr:colOff>590550</xdr:colOff>
                <xdr:row>27</xdr:row>
                <xdr:rowOff>9525</xdr:rowOff>
              </from>
              <to>
                <xdr:col>13</xdr:col>
                <xdr:colOff>9525</xdr:colOff>
                <xdr:row>31</xdr:row>
                <xdr:rowOff>9525</xdr:rowOff>
              </to>
            </anchor>
          </controlPr>
        </control>
      </mc:Choice>
      <mc:Fallback>
        <control shapeId="2051" r:id="rId4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X-ray attenuation length</vt:lpstr>
    </vt:vector>
  </TitlesOfParts>
  <Company>HZB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Gunder, Rene</dc:creator>
  <cp:lastModifiedBy>Gunder, Rene</cp:lastModifiedBy>
  <dcterms:created xsi:type="dcterms:W3CDTF">2016-06-06T13:21:14Z</dcterms:created>
  <dcterms:modified xsi:type="dcterms:W3CDTF">2017-08-08T11:11:40Z</dcterms:modified>
</cp:coreProperties>
</file>