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d:\Profile\ilm\Desktop\X-ray Corelab\templates\XRD_probing_depth\"/>
    </mc:Choice>
  </mc:AlternateContent>
  <xr:revisionPtr revIDLastSave="0" documentId="13_ncr:1_{F5311EEA-CABC-4D1C-A754-C6FF520BE04C}" xr6:coauthVersionLast="47" xr6:coauthVersionMax="47" xr10:uidLastSave="{00000000-0000-0000-0000-000000000000}"/>
  <bookViews>
    <workbookView xWindow="-120" yWindow="-120" windowWidth="29040" windowHeight="17520" xr2:uid="{00000000-000D-0000-FFFF-FFFF00000000}"/>
  </bookViews>
  <sheets>
    <sheet name="XRD PROBING DEPTH"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2" l="1"/>
  <c r="Q57" i="2"/>
  <c r="D57" i="2"/>
  <c r="H57" i="2"/>
  <c r="D15" i="2" l="1"/>
  <c r="G49" i="2" l="1"/>
  <c r="M295" i="2" l="1"/>
  <c r="L295" i="2"/>
  <c r="K295" i="2"/>
  <c r="J295" i="2"/>
  <c r="I295" i="2"/>
  <c r="H295" i="2"/>
  <c r="G295" i="2"/>
  <c r="F295" i="2"/>
  <c r="E295" i="2"/>
  <c r="D295" i="2"/>
  <c r="C295" i="2"/>
  <c r="B295" i="2"/>
  <c r="M294" i="2"/>
  <c r="L294" i="2"/>
  <c r="K294" i="2"/>
  <c r="J294" i="2"/>
  <c r="I294" i="2"/>
  <c r="H294" i="2"/>
  <c r="G294" i="2"/>
  <c r="F294" i="2"/>
  <c r="E294" i="2"/>
  <c r="D294" i="2"/>
  <c r="C294" i="2"/>
  <c r="B294" i="2"/>
  <c r="M293" i="2"/>
  <c r="L293" i="2"/>
  <c r="K293" i="2"/>
  <c r="J293" i="2"/>
  <c r="I293" i="2"/>
  <c r="H293" i="2"/>
  <c r="G293" i="2"/>
  <c r="F293" i="2"/>
  <c r="E293" i="2"/>
  <c r="D293" i="2"/>
  <c r="C293" i="2"/>
  <c r="B293" i="2"/>
  <c r="Q293" i="2"/>
  <c r="S293" i="2" s="1"/>
  <c r="M292" i="2"/>
  <c r="L292" i="2"/>
  <c r="K292" i="2"/>
  <c r="J292" i="2"/>
  <c r="I292" i="2"/>
  <c r="H292" i="2"/>
  <c r="G292" i="2"/>
  <c r="F292" i="2"/>
  <c r="E292" i="2"/>
  <c r="D292" i="2"/>
  <c r="C292" i="2"/>
  <c r="B292" i="2"/>
  <c r="M291" i="2"/>
  <c r="L291" i="2"/>
  <c r="K291" i="2"/>
  <c r="J291" i="2"/>
  <c r="I291" i="2"/>
  <c r="H291" i="2"/>
  <c r="G291" i="2"/>
  <c r="F291" i="2"/>
  <c r="E291" i="2"/>
  <c r="D291" i="2"/>
  <c r="C291" i="2"/>
  <c r="B291" i="2"/>
  <c r="M290" i="2"/>
  <c r="L290" i="2"/>
  <c r="K290" i="2"/>
  <c r="J290" i="2"/>
  <c r="I290" i="2"/>
  <c r="H290" i="2"/>
  <c r="G290" i="2"/>
  <c r="R290" i="2" s="1"/>
  <c r="F290" i="2"/>
  <c r="E290" i="2"/>
  <c r="D290" i="2"/>
  <c r="C290" i="2"/>
  <c r="B290" i="2"/>
  <c r="M289" i="2"/>
  <c r="L289" i="2"/>
  <c r="K289" i="2"/>
  <c r="J289" i="2"/>
  <c r="I289" i="2"/>
  <c r="H289" i="2"/>
  <c r="G289" i="2"/>
  <c r="F289" i="2"/>
  <c r="E289" i="2"/>
  <c r="D289" i="2"/>
  <c r="C289" i="2"/>
  <c r="B289" i="2"/>
  <c r="Q292" i="2"/>
  <c r="S292" i="2" s="1"/>
  <c r="Q289" i="2"/>
  <c r="S289" i="2" s="1"/>
  <c r="Q288" i="2"/>
  <c r="S288" i="2" s="1"/>
  <c r="Q287" i="2"/>
  <c r="M288" i="2"/>
  <c r="L288" i="2"/>
  <c r="K288" i="2"/>
  <c r="J288" i="2"/>
  <c r="I288" i="2"/>
  <c r="H288" i="2"/>
  <c r="G288" i="2"/>
  <c r="F288" i="2"/>
  <c r="E288" i="2"/>
  <c r="D288" i="2"/>
  <c r="C288" i="2"/>
  <c r="B288" i="2"/>
  <c r="S287" i="2"/>
  <c r="M287" i="2"/>
  <c r="L287" i="2"/>
  <c r="K287" i="2"/>
  <c r="J287" i="2"/>
  <c r="I287" i="2"/>
  <c r="H287" i="2"/>
  <c r="G287" i="2"/>
  <c r="F287" i="2"/>
  <c r="E287" i="2"/>
  <c r="D287" i="2"/>
  <c r="C287" i="2"/>
  <c r="B287" i="2"/>
  <c r="M286" i="2"/>
  <c r="L286" i="2"/>
  <c r="K286" i="2"/>
  <c r="J286" i="2"/>
  <c r="I286" i="2"/>
  <c r="H286" i="2"/>
  <c r="G286" i="2"/>
  <c r="F286" i="2"/>
  <c r="E286" i="2"/>
  <c r="D286" i="2"/>
  <c r="C286" i="2"/>
  <c r="B286" i="2"/>
  <c r="M285" i="2"/>
  <c r="L285" i="2"/>
  <c r="K285" i="2"/>
  <c r="J285" i="2"/>
  <c r="I285" i="2"/>
  <c r="H285" i="2"/>
  <c r="G285" i="2"/>
  <c r="F285" i="2"/>
  <c r="E285" i="2"/>
  <c r="D285" i="2"/>
  <c r="C285" i="2"/>
  <c r="B285" i="2"/>
  <c r="M284" i="2"/>
  <c r="L284" i="2"/>
  <c r="K284" i="2"/>
  <c r="J284" i="2"/>
  <c r="I284" i="2"/>
  <c r="H284" i="2"/>
  <c r="G284" i="2"/>
  <c r="F284" i="2"/>
  <c r="E284" i="2"/>
  <c r="D284" i="2"/>
  <c r="C284" i="2"/>
  <c r="B284" i="2"/>
  <c r="M283" i="2"/>
  <c r="M282" i="2"/>
  <c r="L283" i="2"/>
  <c r="K283" i="2"/>
  <c r="J283" i="2"/>
  <c r="I283" i="2"/>
  <c r="H283" i="2"/>
  <c r="G283" i="2"/>
  <c r="F283" i="2"/>
  <c r="E283" i="2"/>
  <c r="D283" i="2"/>
  <c r="C283" i="2"/>
  <c r="B283" i="2"/>
  <c r="L282" i="2"/>
  <c r="K282" i="2"/>
  <c r="J282" i="2"/>
  <c r="I282" i="2"/>
  <c r="H282" i="2"/>
  <c r="G282" i="2"/>
  <c r="F282" i="2"/>
  <c r="E282" i="2"/>
  <c r="D282" i="2"/>
  <c r="C282" i="2"/>
  <c r="B282" i="2"/>
  <c r="E228" i="2"/>
  <c r="D228" i="2"/>
  <c r="C228" i="2"/>
  <c r="B228" i="2"/>
  <c r="E227" i="2"/>
  <c r="D227" i="2"/>
  <c r="C227" i="2"/>
  <c r="B227" i="2"/>
  <c r="M281" i="2"/>
  <c r="L281" i="2"/>
  <c r="K281" i="2"/>
  <c r="J281" i="2"/>
  <c r="I281" i="2"/>
  <c r="H281" i="2"/>
  <c r="G281" i="2"/>
  <c r="F281" i="2"/>
  <c r="E281" i="2"/>
  <c r="D281" i="2"/>
  <c r="C281" i="2"/>
  <c r="B281" i="2"/>
  <c r="K280" i="2"/>
  <c r="J280" i="2"/>
  <c r="I280" i="2"/>
  <c r="H280" i="2"/>
  <c r="G280" i="2"/>
  <c r="F280" i="2"/>
  <c r="E280" i="2"/>
  <c r="D280" i="2"/>
  <c r="C280" i="2"/>
  <c r="B280" i="2"/>
  <c r="K279" i="2"/>
  <c r="J279" i="2"/>
  <c r="I279" i="2"/>
  <c r="H279" i="2"/>
  <c r="G279" i="2"/>
  <c r="F279" i="2"/>
  <c r="E279" i="2"/>
  <c r="D279" i="2"/>
  <c r="C279" i="2"/>
  <c r="B279" i="2"/>
  <c r="K278" i="2"/>
  <c r="J278" i="2"/>
  <c r="I278" i="2"/>
  <c r="H278" i="2"/>
  <c r="G278" i="2"/>
  <c r="F278" i="2"/>
  <c r="E278" i="2"/>
  <c r="D278" i="2"/>
  <c r="C278" i="2"/>
  <c r="B278" i="2"/>
  <c r="I277" i="2"/>
  <c r="H277" i="2"/>
  <c r="G277" i="2"/>
  <c r="F277" i="2"/>
  <c r="E277" i="2"/>
  <c r="D277" i="2"/>
  <c r="C277" i="2"/>
  <c r="B277" i="2"/>
  <c r="Q286" i="2"/>
  <c r="Q285" i="2"/>
  <c r="Q284" i="2"/>
  <c r="Q283" i="2"/>
  <c r="Q282" i="2"/>
  <c r="Q281" i="2"/>
  <c r="Q280" i="2"/>
  <c r="Q279" i="2"/>
  <c r="Q278" i="2"/>
  <c r="Q277" i="2"/>
  <c r="Q276" i="2"/>
  <c r="Q275" i="2"/>
  <c r="Q274" i="2"/>
  <c r="Q273" i="2"/>
  <c r="I276" i="2"/>
  <c r="H276" i="2"/>
  <c r="G276" i="2"/>
  <c r="F276" i="2"/>
  <c r="E276" i="2"/>
  <c r="D276" i="2"/>
  <c r="C276" i="2"/>
  <c r="B276" i="2"/>
  <c r="I275" i="2"/>
  <c r="H275" i="2"/>
  <c r="G275" i="2"/>
  <c r="F275" i="2"/>
  <c r="E275" i="2"/>
  <c r="D275" i="2"/>
  <c r="C275" i="2"/>
  <c r="B275" i="2"/>
  <c r="I274" i="2"/>
  <c r="H274" i="2"/>
  <c r="G274" i="2"/>
  <c r="F274" i="2"/>
  <c r="E274" i="2"/>
  <c r="D274" i="2"/>
  <c r="C274" i="2"/>
  <c r="B274" i="2"/>
  <c r="R294" i="2" l="1"/>
  <c r="R289" i="2"/>
  <c r="R292" i="2"/>
  <c r="R291" i="2"/>
  <c r="R293" i="2"/>
  <c r="R279" i="2"/>
  <c r="R282" i="2"/>
  <c r="R295" i="2"/>
  <c r="R285" i="2"/>
  <c r="R281" i="2"/>
  <c r="R287" i="2"/>
  <c r="R278" i="2"/>
  <c r="R288" i="2"/>
  <c r="R228" i="2"/>
  <c r="R277" i="2"/>
  <c r="R227" i="2"/>
  <c r="R284" i="2"/>
  <c r="R286" i="2"/>
  <c r="R283" i="2"/>
  <c r="R276" i="2"/>
  <c r="R275" i="2"/>
  <c r="R274" i="2"/>
  <c r="R280" i="2"/>
  <c r="I273" i="2"/>
  <c r="H273" i="2"/>
  <c r="G273" i="2"/>
  <c r="F273" i="2"/>
  <c r="E273" i="2"/>
  <c r="D273" i="2"/>
  <c r="C273" i="2"/>
  <c r="B273" i="2"/>
  <c r="I272" i="2"/>
  <c r="H272" i="2"/>
  <c r="G272" i="2"/>
  <c r="F272" i="2"/>
  <c r="E272" i="2"/>
  <c r="D272" i="2"/>
  <c r="C272" i="2"/>
  <c r="B272" i="2"/>
  <c r="S285" i="2"/>
  <c r="S273" i="2"/>
  <c r="S274" i="2"/>
  <c r="S275" i="2"/>
  <c r="S276" i="2"/>
  <c r="S277" i="2"/>
  <c r="S278" i="2"/>
  <c r="S279" i="2"/>
  <c r="S280" i="2"/>
  <c r="S281" i="2"/>
  <c r="S282" i="2"/>
  <c r="S283" i="2"/>
  <c r="S284" i="2"/>
  <c r="Q272" i="2"/>
  <c r="S272" i="2" s="1"/>
  <c r="Q271" i="2"/>
  <c r="S271" i="2" s="1"/>
  <c r="I271" i="2"/>
  <c r="H271" i="2"/>
  <c r="G271" i="2"/>
  <c r="F271" i="2"/>
  <c r="E271" i="2"/>
  <c r="D271" i="2"/>
  <c r="C271" i="2"/>
  <c r="B271" i="2"/>
  <c r="I270" i="2"/>
  <c r="H270" i="2"/>
  <c r="G270" i="2"/>
  <c r="F270" i="2"/>
  <c r="E270" i="2"/>
  <c r="D270" i="2"/>
  <c r="C270" i="2"/>
  <c r="B270" i="2"/>
  <c r="I269" i="2"/>
  <c r="H269" i="2"/>
  <c r="G269" i="2"/>
  <c r="F269" i="2"/>
  <c r="E269" i="2"/>
  <c r="D269" i="2"/>
  <c r="C269" i="2"/>
  <c r="B269" i="2"/>
  <c r="I268" i="2"/>
  <c r="H268" i="2"/>
  <c r="G268" i="2"/>
  <c r="F268" i="2"/>
  <c r="E268" i="2"/>
  <c r="D268" i="2"/>
  <c r="C268" i="2"/>
  <c r="B268" i="2"/>
  <c r="I267" i="2"/>
  <c r="H267" i="2"/>
  <c r="G267" i="2"/>
  <c r="F267" i="2"/>
  <c r="E267" i="2"/>
  <c r="D267" i="2"/>
  <c r="C267" i="2"/>
  <c r="B267" i="2"/>
  <c r="I266" i="2"/>
  <c r="H266" i="2"/>
  <c r="G266" i="2"/>
  <c r="F266" i="2"/>
  <c r="E266" i="2"/>
  <c r="D266" i="2"/>
  <c r="C266" i="2"/>
  <c r="B266" i="2"/>
  <c r="I265" i="2"/>
  <c r="H265" i="2"/>
  <c r="G265" i="2"/>
  <c r="F265" i="2"/>
  <c r="E265" i="2"/>
  <c r="D265" i="2"/>
  <c r="C265" i="2"/>
  <c r="B265" i="2"/>
  <c r="I264" i="2"/>
  <c r="H264" i="2"/>
  <c r="G264" i="2"/>
  <c r="F264" i="2"/>
  <c r="E264" i="2"/>
  <c r="D264" i="2"/>
  <c r="C264" i="2"/>
  <c r="B264" i="2"/>
  <c r="J311" i="2"/>
  <c r="J310" i="2"/>
  <c r="I263" i="2"/>
  <c r="H263" i="2"/>
  <c r="G263" i="2"/>
  <c r="F263" i="2"/>
  <c r="E263" i="2"/>
  <c r="D263" i="2"/>
  <c r="C263" i="2"/>
  <c r="B263" i="2"/>
  <c r="R271" i="2" l="1"/>
  <c r="R263" i="2"/>
  <c r="R264" i="2"/>
  <c r="R270" i="2"/>
  <c r="R265" i="2"/>
  <c r="R272" i="2"/>
  <c r="R273" i="2"/>
  <c r="R266" i="2"/>
  <c r="R267" i="2"/>
  <c r="R268" i="2"/>
  <c r="R269" i="2"/>
  <c r="I262" i="2"/>
  <c r="H262" i="2"/>
  <c r="G262" i="2"/>
  <c r="F262" i="2"/>
  <c r="E262" i="2"/>
  <c r="D262" i="2"/>
  <c r="C262" i="2"/>
  <c r="B262" i="2"/>
  <c r="I261" i="2"/>
  <c r="H261" i="2"/>
  <c r="G261" i="2"/>
  <c r="F261" i="2"/>
  <c r="E261" i="2"/>
  <c r="D261" i="2"/>
  <c r="C261" i="2"/>
  <c r="B261" i="2"/>
  <c r="I260" i="2"/>
  <c r="H260" i="2"/>
  <c r="G260" i="2"/>
  <c r="F260" i="2"/>
  <c r="E260" i="2"/>
  <c r="D260" i="2"/>
  <c r="C260" i="2"/>
  <c r="B260" i="2"/>
  <c r="I259" i="2"/>
  <c r="H259" i="2"/>
  <c r="G259" i="2"/>
  <c r="F259" i="2"/>
  <c r="E259" i="2"/>
  <c r="D259" i="2"/>
  <c r="C259" i="2"/>
  <c r="B259" i="2"/>
  <c r="I258" i="2"/>
  <c r="I257" i="2"/>
  <c r="H258" i="2"/>
  <c r="G258" i="2"/>
  <c r="F258" i="2"/>
  <c r="D258" i="2"/>
  <c r="E258" i="2"/>
  <c r="C258" i="2"/>
  <c r="B258" i="2"/>
  <c r="H257" i="2"/>
  <c r="G257" i="2"/>
  <c r="F257" i="2"/>
  <c r="E257" i="2"/>
  <c r="D257" i="2"/>
  <c r="C257" i="2"/>
  <c r="B257" i="2"/>
  <c r="I256" i="2"/>
  <c r="H256" i="2"/>
  <c r="G256" i="2"/>
  <c r="F256" i="2"/>
  <c r="E256" i="2"/>
  <c r="D256" i="2"/>
  <c r="C256" i="2"/>
  <c r="B256" i="2"/>
  <c r="I254" i="2"/>
  <c r="H254" i="2"/>
  <c r="G254" i="2"/>
  <c r="F254" i="2"/>
  <c r="E254" i="2"/>
  <c r="D254" i="2"/>
  <c r="B254" i="2"/>
  <c r="C254" i="2"/>
  <c r="K253" i="2"/>
  <c r="J253" i="2"/>
  <c r="I253" i="2"/>
  <c r="H253" i="2"/>
  <c r="G253" i="2"/>
  <c r="F253" i="2"/>
  <c r="E253" i="2"/>
  <c r="D253" i="2"/>
  <c r="C253" i="2"/>
  <c r="B253" i="2"/>
  <c r="K252" i="2"/>
  <c r="J252" i="2"/>
  <c r="I252" i="2"/>
  <c r="H252" i="2"/>
  <c r="G252" i="2"/>
  <c r="F252" i="2"/>
  <c r="E252" i="2"/>
  <c r="D252" i="2"/>
  <c r="C252" i="2"/>
  <c r="B252" i="2"/>
  <c r="K251" i="2"/>
  <c r="J251" i="2"/>
  <c r="I251" i="2"/>
  <c r="H251" i="2"/>
  <c r="G251" i="2"/>
  <c r="F251" i="2"/>
  <c r="E251" i="2"/>
  <c r="D251" i="2"/>
  <c r="C251" i="2"/>
  <c r="B251" i="2"/>
  <c r="I250" i="2"/>
  <c r="H250" i="2"/>
  <c r="G250" i="2"/>
  <c r="F250" i="2"/>
  <c r="E250" i="2"/>
  <c r="D250" i="2"/>
  <c r="C250" i="2"/>
  <c r="B250" i="2"/>
  <c r="G249" i="2"/>
  <c r="E249" i="2"/>
  <c r="F249" i="2"/>
  <c r="C249" i="2"/>
  <c r="D249" i="2"/>
  <c r="B249" i="2"/>
  <c r="E248" i="2"/>
  <c r="D248" i="2"/>
  <c r="C248" i="2"/>
  <c r="B248" i="2"/>
  <c r="E247" i="2"/>
  <c r="D247" i="2"/>
  <c r="C247" i="2"/>
  <c r="B247" i="2"/>
  <c r="E246" i="2"/>
  <c r="D246" i="2"/>
  <c r="C246" i="2"/>
  <c r="B246" i="2"/>
  <c r="B245" i="2"/>
  <c r="E245" i="2"/>
  <c r="D245" i="2"/>
  <c r="C245" i="2"/>
  <c r="R262" i="2" l="1"/>
  <c r="R261" i="2"/>
  <c r="R256" i="2"/>
  <c r="R257" i="2"/>
  <c r="R259" i="2"/>
  <c r="R260" i="2"/>
  <c r="R258" i="2"/>
  <c r="R253" i="2"/>
  <c r="R252" i="2"/>
  <c r="R254" i="2"/>
  <c r="R251" i="2"/>
  <c r="R250" i="2"/>
  <c r="R247" i="2"/>
  <c r="R246" i="2"/>
  <c r="R248" i="2"/>
  <c r="R245" i="2"/>
  <c r="R249" i="2"/>
  <c r="E49" i="2"/>
  <c r="E244" i="2"/>
  <c r="D244" i="2"/>
  <c r="C244" i="2"/>
  <c r="B244" i="2"/>
  <c r="P23" i="2"/>
  <c r="R21" i="2"/>
  <c r="R244" i="2" l="1"/>
  <c r="E243" i="2"/>
  <c r="D243" i="2"/>
  <c r="C243" i="2"/>
  <c r="B243" i="2"/>
  <c r="E242" i="2"/>
  <c r="D242" i="2"/>
  <c r="C242" i="2"/>
  <c r="B242" i="2"/>
  <c r="E241" i="2"/>
  <c r="D241" i="2"/>
  <c r="C241" i="2"/>
  <c r="B241" i="2"/>
  <c r="R243" i="2" l="1"/>
  <c r="R242" i="2"/>
  <c r="R241" i="2"/>
  <c r="C240" i="2"/>
  <c r="B240" i="2"/>
  <c r="E240" i="2"/>
  <c r="D240" i="2"/>
  <c r="E239" i="2"/>
  <c r="D239" i="2"/>
  <c r="C239" i="2"/>
  <c r="B239" i="2"/>
  <c r="R240" i="2" l="1"/>
  <c r="R239" i="2"/>
  <c r="D238" i="2"/>
  <c r="B238" i="2"/>
  <c r="E238" i="2"/>
  <c r="C238" i="2"/>
  <c r="E237" i="2"/>
  <c r="D237" i="2"/>
  <c r="C237" i="2"/>
  <c r="B237" i="2"/>
  <c r="E236" i="2"/>
  <c r="D236" i="2"/>
  <c r="C236" i="2"/>
  <c r="B236" i="2"/>
  <c r="E235" i="2"/>
  <c r="D235" i="2"/>
  <c r="C235" i="2"/>
  <c r="B235" i="2"/>
  <c r="E234" i="2"/>
  <c r="D234" i="2"/>
  <c r="C234" i="2"/>
  <c r="B234" i="2"/>
  <c r="E233" i="2"/>
  <c r="D233" i="2"/>
  <c r="C233" i="2"/>
  <c r="B233" i="2"/>
  <c r="E232" i="2"/>
  <c r="D232" i="2"/>
  <c r="C232" i="2"/>
  <c r="B232" i="2"/>
  <c r="D231" i="2"/>
  <c r="C231" i="2"/>
  <c r="E231" i="2"/>
  <c r="B231" i="2"/>
  <c r="E230" i="2"/>
  <c r="D230" i="2"/>
  <c r="C230" i="2"/>
  <c r="B230" i="2"/>
  <c r="R238" i="2" l="1"/>
  <c r="R237" i="2"/>
  <c r="R232" i="2"/>
  <c r="R236" i="2"/>
  <c r="R235" i="2"/>
  <c r="R234" i="2"/>
  <c r="R231" i="2"/>
  <c r="R233" i="2"/>
  <c r="R230" i="2"/>
  <c r="E229" i="2"/>
  <c r="D229" i="2"/>
  <c r="C229" i="2"/>
  <c r="B229" i="2"/>
  <c r="C226" i="2"/>
  <c r="B226" i="2"/>
  <c r="C225" i="2"/>
  <c r="B225" i="2"/>
  <c r="C224" i="2"/>
  <c r="B224" i="2"/>
  <c r="C223" i="2"/>
  <c r="B223" i="2"/>
  <c r="C222" i="2"/>
  <c r="B222" i="2"/>
  <c r="C221" i="2"/>
  <c r="B221" i="2"/>
  <c r="C220" i="2"/>
  <c r="B220" i="2"/>
  <c r="C219" i="2"/>
  <c r="B219" i="2"/>
  <c r="C218" i="2"/>
  <c r="B218" i="2"/>
  <c r="C217" i="2"/>
  <c r="B217" i="2"/>
  <c r="C216" i="2"/>
  <c r="B216" i="2"/>
  <c r="C215" i="2"/>
  <c r="B215" i="2"/>
  <c r="C214" i="2"/>
  <c r="B214" i="2"/>
  <c r="C213" i="2"/>
  <c r="B213" i="2"/>
  <c r="R221" i="2" l="1"/>
  <c r="R219" i="2"/>
  <c r="R217" i="2"/>
  <c r="R215" i="2"/>
  <c r="R229" i="2"/>
  <c r="R225" i="2"/>
  <c r="R222" i="2"/>
  <c r="R226" i="2"/>
  <c r="R224" i="2"/>
  <c r="R223" i="2"/>
  <c r="R218" i="2"/>
  <c r="R220" i="2"/>
  <c r="R214" i="2"/>
  <c r="R216" i="2"/>
  <c r="R213" i="2"/>
  <c r="Q295" i="2" l="1"/>
  <c r="S295" i="2" s="1"/>
  <c r="Q294" i="2"/>
  <c r="S294" i="2" s="1"/>
  <c r="Q291" i="2"/>
  <c r="S291" i="2" s="1"/>
  <c r="Q290" i="2"/>
  <c r="S290" i="2" s="1"/>
  <c r="Q270" i="2"/>
  <c r="Q269" i="2"/>
  <c r="Q268" i="2"/>
  <c r="Q267" i="2"/>
  <c r="Q266" i="2"/>
  <c r="Q265" i="2"/>
  <c r="Q264" i="2"/>
  <c r="Q263" i="2"/>
  <c r="Q262" i="2"/>
  <c r="Q261" i="2"/>
  <c r="Q260" i="2"/>
  <c r="Q259" i="2"/>
  <c r="Q258" i="2"/>
  <c r="Q257" i="2"/>
  <c r="Q256" i="2"/>
  <c r="Q254" i="2"/>
  <c r="Q253" i="2"/>
  <c r="Q252" i="2"/>
  <c r="Q251" i="2"/>
  <c r="Q250" i="2"/>
  <c r="Q249" i="2"/>
  <c r="Q248" i="2"/>
  <c r="Q247" i="2"/>
  <c r="Q246" i="2"/>
  <c r="Q245" i="2"/>
  <c r="Q244" i="2"/>
  <c r="Q243" i="2"/>
  <c r="Q242" i="2"/>
  <c r="Q241" i="2"/>
  <c r="Q240" i="2"/>
  <c r="Q239" i="2"/>
  <c r="Q238" i="2"/>
  <c r="Q237" i="2"/>
  <c r="Q236" i="2"/>
  <c r="S236" i="2" s="1"/>
  <c r="Q235" i="2"/>
  <c r="Q234" i="2"/>
  <c r="Q233" i="2"/>
  <c r="Q232" i="2"/>
  <c r="Q231" i="2"/>
  <c r="Q230" i="2"/>
  <c r="Q229" i="2"/>
  <c r="Q228" i="2"/>
  <c r="Q227" i="2"/>
  <c r="Q226" i="2"/>
  <c r="Q225" i="2"/>
  <c r="Q224" i="2"/>
  <c r="Q223" i="2"/>
  <c r="Q222" i="2"/>
  <c r="Q221" i="2"/>
  <c r="Q220" i="2"/>
  <c r="Q219" i="2"/>
  <c r="Q218" i="2"/>
  <c r="Q217" i="2"/>
  <c r="Q216" i="2"/>
  <c r="Q215" i="2"/>
  <c r="Q214" i="2"/>
  <c r="Q296" i="2" l="1"/>
  <c r="S286" i="2"/>
  <c r="S270" i="2"/>
  <c r="S269" i="2"/>
  <c r="S268" i="2"/>
  <c r="S267" i="2"/>
  <c r="S266" i="2"/>
  <c r="S265" i="2"/>
  <c r="S263" i="2"/>
  <c r="S259" i="2"/>
  <c r="S258" i="2"/>
  <c r="S257" i="2"/>
  <c r="S256" i="2"/>
  <c r="S253" i="2" l="1"/>
  <c r="S252" i="2"/>
  <c r="S251" i="2"/>
  <c r="S250" i="2"/>
  <c r="S249" i="2"/>
  <c r="S248" i="2"/>
  <c r="S235" i="2"/>
  <c r="S233" i="2"/>
  <c r="S230" i="2"/>
  <c r="S223" i="2"/>
  <c r="S222" i="2"/>
  <c r="S221" i="2"/>
  <c r="S219" i="2"/>
  <c r="S218" i="2"/>
  <c r="S217" i="2"/>
  <c r="S216" i="2"/>
  <c r="S215" i="2"/>
  <c r="S220" i="2"/>
  <c r="S214" i="2"/>
  <c r="S213" i="2"/>
  <c r="S264" i="2"/>
  <c r="S262" i="2" l="1"/>
  <c r="S260" i="2"/>
  <c r="S247" i="2"/>
  <c r="S245" i="2"/>
  <c r="S240" i="2"/>
  <c r="S239" i="2"/>
  <c r="S261" i="2"/>
  <c r="S254" i="2"/>
  <c r="S246" i="2"/>
  <c r="S244" i="2"/>
  <c r="S243" i="2"/>
  <c r="S242" i="2"/>
  <c r="S241" i="2"/>
  <c r="S238" i="2"/>
  <c r="S234" i="2"/>
  <c r="S232" i="2"/>
  <c r="S231" i="2"/>
  <c r="S229" i="2"/>
  <c r="S228" i="2"/>
  <c r="S227" i="2"/>
  <c r="S226" i="2"/>
  <c r="S225" i="2"/>
  <c r="S224" i="2"/>
  <c r="S237" i="2"/>
  <c r="S296" i="2" l="1"/>
  <c r="I22" i="2"/>
  <c r="L22" i="2" l="1"/>
  <c r="T294" i="2"/>
  <c r="U294" i="2" s="1"/>
  <c r="T295" i="2"/>
  <c r="U295" i="2" s="1"/>
  <c r="T293" i="2"/>
  <c r="U293" i="2" s="1"/>
  <c r="T287" i="2"/>
  <c r="U287" i="2" s="1"/>
  <c r="T290" i="2"/>
  <c r="U290" i="2" s="1"/>
  <c r="T291" i="2"/>
  <c r="U291" i="2" s="1"/>
  <c r="T292" i="2"/>
  <c r="U292" i="2" s="1"/>
  <c r="T288" i="2"/>
  <c r="U288" i="2" s="1"/>
  <c r="T289" i="2"/>
  <c r="U289" i="2" s="1"/>
  <c r="T271" i="2"/>
  <c r="U271" i="2" s="1"/>
  <c r="T278" i="2"/>
  <c r="U278" i="2" s="1"/>
  <c r="T281" i="2"/>
  <c r="U281" i="2" s="1"/>
  <c r="T279" i="2"/>
  <c r="U279" i="2" s="1"/>
  <c r="T272" i="2"/>
  <c r="U272" i="2" s="1"/>
  <c r="T280" i="2"/>
  <c r="U280" i="2" s="1"/>
  <c r="T282" i="2"/>
  <c r="U282" i="2" s="1"/>
  <c r="T274" i="2"/>
  <c r="U274" i="2" s="1"/>
  <c r="T283" i="2"/>
  <c r="U283" i="2" s="1"/>
  <c r="T275" i="2"/>
  <c r="U275" i="2" s="1"/>
  <c r="T284" i="2"/>
  <c r="U284" i="2" s="1"/>
  <c r="T276" i="2"/>
  <c r="U276" i="2" s="1"/>
  <c r="T285" i="2"/>
  <c r="U285" i="2" s="1"/>
  <c r="T277" i="2"/>
  <c r="U277" i="2" s="1"/>
  <c r="T273" i="2"/>
  <c r="U273" i="2" s="1"/>
  <c r="J22" i="2"/>
  <c r="T286" i="2"/>
  <c r="U286" i="2" s="1"/>
  <c r="T270" i="2"/>
  <c r="U270" i="2" s="1"/>
  <c r="T269" i="2"/>
  <c r="U269" i="2" s="1"/>
  <c r="T268" i="2"/>
  <c r="U268" i="2" s="1"/>
  <c r="T267" i="2"/>
  <c r="U267" i="2" s="1"/>
  <c r="T266" i="2"/>
  <c r="U266" i="2" s="1"/>
  <c r="T265" i="2"/>
  <c r="U265" i="2" s="1"/>
  <c r="T263" i="2"/>
  <c r="U263" i="2" s="1"/>
  <c r="T259" i="2"/>
  <c r="U259" i="2" s="1"/>
  <c r="T258" i="2"/>
  <c r="U258" i="2" s="1"/>
  <c r="T256" i="2"/>
  <c r="U256" i="2" s="1"/>
  <c r="T257" i="2"/>
  <c r="U257" i="2" s="1"/>
  <c r="T253" i="2"/>
  <c r="U253" i="2" s="1"/>
  <c r="T252" i="2"/>
  <c r="U252" i="2" s="1"/>
  <c r="T251" i="2"/>
  <c r="U251" i="2" s="1"/>
  <c r="T250" i="2"/>
  <c r="U250" i="2" s="1"/>
  <c r="T249" i="2"/>
  <c r="U249" i="2" s="1"/>
  <c r="T248" i="2"/>
  <c r="U248" i="2" s="1"/>
  <c r="T235" i="2"/>
  <c r="U235" i="2" s="1"/>
  <c r="T233" i="2"/>
  <c r="U233" i="2" s="1"/>
  <c r="T223" i="2"/>
  <c r="U223" i="2" s="1"/>
  <c r="T230" i="2"/>
  <c r="U230" i="2" s="1"/>
  <c r="T222" i="2"/>
  <c r="U222" i="2" s="1"/>
  <c r="T221" i="2"/>
  <c r="U221" i="2" s="1"/>
  <c r="T219" i="2"/>
  <c r="U219" i="2" s="1"/>
  <c r="T218" i="2"/>
  <c r="U218" i="2" s="1"/>
  <c r="T217" i="2"/>
  <c r="U217" i="2" s="1"/>
  <c r="T215" i="2"/>
  <c r="U215" i="2" s="1"/>
  <c r="T216" i="2"/>
  <c r="U216" i="2" s="1"/>
  <c r="T214" i="2"/>
  <c r="U214" i="2" s="1"/>
  <c r="T213" i="2"/>
  <c r="T220" i="2"/>
  <c r="U220" i="2" s="1"/>
  <c r="T262" i="2"/>
  <c r="U262" i="2" s="1"/>
  <c r="T264" i="2"/>
  <c r="U264" i="2" s="1"/>
  <c r="T260" i="2"/>
  <c r="U260" i="2" s="1"/>
  <c r="T247" i="2"/>
  <c r="U247" i="2" s="1"/>
  <c r="T240" i="2"/>
  <c r="U240" i="2" s="1"/>
  <c r="T245" i="2"/>
  <c r="U245" i="2" s="1"/>
  <c r="T239" i="2"/>
  <c r="U239" i="2" s="1"/>
  <c r="T231" i="2" l="1"/>
  <c r="T238" i="2" l="1"/>
  <c r="U238" i="2" s="1"/>
  <c r="T229" i="2"/>
  <c r="U229" i="2" s="1"/>
  <c r="T237" i="2"/>
  <c r="U237" i="2" s="1"/>
  <c r="T234" i="2"/>
  <c r="U234" i="2" s="1"/>
  <c r="T236" i="2"/>
  <c r="U236" i="2" s="1"/>
  <c r="T225" i="2"/>
  <c r="U225" i="2" s="1"/>
  <c r="T232" i="2"/>
  <c r="U232" i="2" s="1"/>
  <c r="U231" i="2"/>
  <c r="T227" i="2"/>
  <c r="U227" i="2" s="1"/>
  <c r="T226" i="2"/>
  <c r="U226" i="2" s="1"/>
  <c r="U213" i="2"/>
  <c r="T224" i="2"/>
  <c r="T244" i="2"/>
  <c r="U244" i="2" s="1"/>
  <c r="T243" i="2"/>
  <c r="U243" i="2" s="1"/>
  <c r="T254" i="2"/>
  <c r="U254" i="2" s="1"/>
  <c r="T246" i="2"/>
  <c r="U246" i="2" s="1"/>
  <c r="T228" i="2"/>
  <c r="U228" i="2" s="1"/>
  <c r="T242" i="2"/>
  <c r="U242" i="2" s="1"/>
  <c r="T241" i="2"/>
  <c r="U241" i="2" s="1"/>
  <c r="T261" i="2"/>
  <c r="U261" i="2" s="1"/>
  <c r="U224" i="2" l="1"/>
  <c r="U296" i="2" s="1"/>
  <c r="M22" i="2" s="1"/>
  <c r="T296" i="2"/>
  <c r="C316" i="2" l="1"/>
  <c r="D316" i="2" s="1"/>
  <c r="C324" i="2"/>
  <c r="D324" i="2" s="1"/>
  <c r="C332" i="2"/>
  <c r="D332" i="2" s="1"/>
  <c r="C340" i="2"/>
  <c r="D340" i="2" s="1"/>
  <c r="C348" i="2"/>
  <c r="D348" i="2" s="1"/>
  <c r="C356" i="2"/>
  <c r="D356" i="2" s="1"/>
  <c r="C364" i="2"/>
  <c r="D364" i="2" s="1"/>
  <c r="C372" i="2"/>
  <c r="D372" i="2" s="1"/>
  <c r="C380" i="2"/>
  <c r="D380" i="2" s="1"/>
  <c r="C388" i="2"/>
  <c r="D388" i="2" s="1"/>
  <c r="C396" i="2"/>
  <c r="D396" i="2" s="1"/>
  <c r="C404" i="2"/>
  <c r="D404" i="2" s="1"/>
  <c r="C412" i="2"/>
  <c r="D412" i="2" s="1"/>
  <c r="C420" i="2"/>
  <c r="D420" i="2" s="1"/>
  <c r="C428" i="2"/>
  <c r="D428" i="2" s="1"/>
  <c r="C436" i="2"/>
  <c r="D436" i="2" s="1"/>
  <c r="C444" i="2"/>
  <c r="D444" i="2" s="1"/>
  <c r="C452" i="2"/>
  <c r="D452" i="2" s="1"/>
  <c r="C460" i="2"/>
  <c r="D460" i="2" s="1"/>
  <c r="C468" i="2"/>
  <c r="D468" i="2" s="1"/>
  <c r="C476" i="2"/>
  <c r="D476" i="2" s="1"/>
  <c r="C484" i="2"/>
  <c r="D484" i="2" s="1"/>
  <c r="C492" i="2"/>
  <c r="D492" i="2" s="1"/>
  <c r="C500" i="2"/>
  <c r="D500" i="2" s="1"/>
  <c r="C508" i="2"/>
  <c r="D508" i="2" s="1"/>
  <c r="C502" i="2"/>
  <c r="D502" i="2" s="1"/>
  <c r="C495" i="2"/>
  <c r="D495" i="2" s="1"/>
  <c r="C313" i="2"/>
  <c r="D313" i="2" s="1"/>
  <c r="C377" i="2"/>
  <c r="D377" i="2" s="1"/>
  <c r="C425" i="2"/>
  <c r="D425" i="2" s="1"/>
  <c r="C481" i="2"/>
  <c r="D481" i="2" s="1"/>
  <c r="C322" i="2"/>
  <c r="D322" i="2" s="1"/>
  <c r="C378" i="2"/>
  <c r="D378" i="2" s="1"/>
  <c r="C426" i="2"/>
  <c r="D426" i="2" s="1"/>
  <c r="C482" i="2"/>
  <c r="D482" i="2" s="1"/>
  <c r="C317" i="2"/>
  <c r="D317" i="2" s="1"/>
  <c r="C325" i="2"/>
  <c r="D325" i="2" s="1"/>
  <c r="C333" i="2"/>
  <c r="D333" i="2" s="1"/>
  <c r="C341" i="2"/>
  <c r="D341" i="2" s="1"/>
  <c r="C349" i="2"/>
  <c r="D349" i="2" s="1"/>
  <c r="C357" i="2"/>
  <c r="D357" i="2" s="1"/>
  <c r="C365" i="2"/>
  <c r="D365" i="2" s="1"/>
  <c r="C373" i="2"/>
  <c r="D373" i="2" s="1"/>
  <c r="C381" i="2"/>
  <c r="D381" i="2" s="1"/>
  <c r="C389" i="2"/>
  <c r="D389" i="2" s="1"/>
  <c r="C397" i="2"/>
  <c r="D397" i="2" s="1"/>
  <c r="C405" i="2"/>
  <c r="D405" i="2" s="1"/>
  <c r="C413" i="2"/>
  <c r="D413" i="2" s="1"/>
  <c r="C421" i="2"/>
  <c r="D421" i="2" s="1"/>
  <c r="C429" i="2"/>
  <c r="D429" i="2" s="1"/>
  <c r="C437" i="2"/>
  <c r="D437" i="2" s="1"/>
  <c r="C445" i="2"/>
  <c r="D445" i="2" s="1"/>
  <c r="C453" i="2"/>
  <c r="D453" i="2" s="1"/>
  <c r="C461" i="2"/>
  <c r="D461" i="2" s="1"/>
  <c r="C469" i="2"/>
  <c r="D469" i="2" s="1"/>
  <c r="C477" i="2"/>
  <c r="D477" i="2" s="1"/>
  <c r="C485" i="2"/>
  <c r="D485" i="2" s="1"/>
  <c r="C493" i="2"/>
  <c r="D493" i="2" s="1"/>
  <c r="C501" i="2"/>
  <c r="D501" i="2" s="1"/>
  <c r="C509" i="2"/>
  <c r="D509" i="2" s="1"/>
  <c r="C494" i="2"/>
  <c r="D494" i="2" s="1"/>
  <c r="C310" i="2"/>
  <c r="D310" i="2" s="1"/>
  <c r="C337" i="2"/>
  <c r="D337" i="2" s="1"/>
  <c r="C369" i="2"/>
  <c r="D369" i="2" s="1"/>
  <c r="C417" i="2"/>
  <c r="D417" i="2" s="1"/>
  <c r="C449" i="2"/>
  <c r="D449" i="2" s="1"/>
  <c r="C489" i="2"/>
  <c r="D489" i="2" s="1"/>
  <c r="C330" i="2"/>
  <c r="D330" i="2" s="1"/>
  <c r="C370" i="2"/>
  <c r="D370" i="2" s="1"/>
  <c r="C402" i="2"/>
  <c r="D402" i="2" s="1"/>
  <c r="C442" i="2"/>
  <c r="D442" i="2" s="1"/>
  <c r="C490" i="2"/>
  <c r="D490" i="2" s="1"/>
  <c r="C506" i="2"/>
  <c r="D506" i="2" s="1"/>
  <c r="C318" i="2"/>
  <c r="D318" i="2" s="1"/>
  <c r="C326" i="2"/>
  <c r="D326" i="2" s="1"/>
  <c r="C334" i="2"/>
  <c r="D334" i="2" s="1"/>
  <c r="C342" i="2"/>
  <c r="D342" i="2" s="1"/>
  <c r="C350" i="2"/>
  <c r="D350" i="2" s="1"/>
  <c r="C358" i="2"/>
  <c r="D358" i="2" s="1"/>
  <c r="C366" i="2"/>
  <c r="D366" i="2" s="1"/>
  <c r="C374" i="2"/>
  <c r="D374" i="2" s="1"/>
  <c r="C382" i="2"/>
  <c r="D382" i="2" s="1"/>
  <c r="C390" i="2"/>
  <c r="D390" i="2" s="1"/>
  <c r="C398" i="2"/>
  <c r="D398" i="2" s="1"/>
  <c r="C406" i="2"/>
  <c r="D406" i="2" s="1"/>
  <c r="C414" i="2"/>
  <c r="D414" i="2" s="1"/>
  <c r="C422" i="2"/>
  <c r="D422" i="2" s="1"/>
  <c r="C430" i="2"/>
  <c r="D430" i="2" s="1"/>
  <c r="C438" i="2"/>
  <c r="D438" i="2" s="1"/>
  <c r="C446" i="2"/>
  <c r="D446" i="2" s="1"/>
  <c r="C454" i="2"/>
  <c r="D454" i="2" s="1"/>
  <c r="C462" i="2"/>
  <c r="D462" i="2" s="1"/>
  <c r="C470" i="2"/>
  <c r="D470" i="2" s="1"/>
  <c r="C478" i="2"/>
  <c r="D478" i="2" s="1"/>
  <c r="C486" i="2"/>
  <c r="D486" i="2" s="1"/>
  <c r="C503" i="2"/>
  <c r="D503" i="2" s="1"/>
  <c r="C353" i="2"/>
  <c r="D353" i="2" s="1"/>
  <c r="C441" i="2"/>
  <c r="D441" i="2" s="1"/>
  <c r="C338" i="2"/>
  <c r="D338" i="2" s="1"/>
  <c r="C394" i="2"/>
  <c r="D394" i="2" s="1"/>
  <c r="C458" i="2"/>
  <c r="D458" i="2" s="1"/>
  <c r="C311" i="2"/>
  <c r="D311" i="2" s="1"/>
  <c r="C319" i="2"/>
  <c r="D319" i="2" s="1"/>
  <c r="C327" i="2"/>
  <c r="D327" i="2" s="1"/>
  <c r="C335" i="2"/>
  <c r="D335" i="2" s="1"/>
  <c r="C343" i="2"/>
  <c r="D343" i="2" s="1"/>
  <c r="C351" i="2"/>
  <c r="D351" i="2" s="1"/>
  <c r="C359" i="2"/>
  <c r="D359" i="2" s="1"/>
  <c r="C367" i="2"/>
  <c r="D367" i="2" s="1"/>
  <c r="C375" i="2"/>
  <c r="D375" i="2" s="1"/>
  <c r="C383" i="2"/>
  <c r="D383" i="2" s="1"/>
  <c r="C391" i="2"/>
  <c r="D391" i="2" s="1"/>
  <c r="C399" i="2"/>
  <c r="D399" i="2" s="1"/>
  <c r="C407" i="2"/>
  <c r="D407" i="2" s="1"/>
  <c r="C415" i="2"/>
  <c r="D415" i="2" s="1"/>
  <c r="C423" i="2"/>
  <c r="D423" i="2" s="1"/>
  <c r="C431" i="2"/>
  <c r="D431" i="2" s="1"/>
  <c r="C439" i="2"/>
  <c r="D439" i="2" s="1"/>
  <c r="C447" i="2"/>
  <c r="D447" i="2" s="1"/>
  <c r="C455" i="2"/>
  <c r="D455" i="2" s="1"/>
  <c r="C463" i="2"/>
  <c r="D463" i="2" s="1"/>
  <c r="C471" i="2"/>
  <c r="D471" i="2" s="1"/>
  <c r="C479" i="2"/>
  <c r="D479" i="2" s="1"/>
  <c r="C487" i="2"/>
  <c r="D487" i="2" s="1"/>
  <c r="C329" i="2"/>
  <c r="D329" i="2" s="1"/>
  <c r="C393" i="2"/>
  <c r="D393" i="2" s="1"/>
  <c r="C465" i="2"/>
  <c r="D465" i="2" s="1"/>
  <c r="C346" i="2"/>
  <c r="D346" i="2" s="1"/>
  <c r="C418" i="2"/>
  <c r="D418" i="2" s="1"/>
  <c r="C466" i="2"/>
  <c r="D466" i="2" s="1"/>
  <c r="C312" i="2"/>
  <c r="D312" i="2" s="1"/>
  <c r="C320" i="2"/>
  <c r="D320" i="2" s="1"/>
  <c r="C328" i="2"/>
  <c r="D328" i="2" s="1"/>
  <c r="C336" i="2"/>
  <c r="D336" i="2" s="1"/>
  <c r="C344" i="2"/>
  <c r="D344" i="2" s="1"/>
  <c r="C352" i="2"/>
  <c r="D352" i="2" s="1"/>
  <c r="C360" i="2"/>
  <c r="D360" i="2" s="1"/>
  <c r="C368" i="2"/>
  <c r="D368" i="2" s="1"/>
  <c r="C376" i="2"/>
  <c r="D376" i="2" s="1"/>
  <c r="C384" i="2"/>
  <c r="D384" i="2" s="1"/>
  <c r="C392" i="2"/>
  <c r="D392" i="2" s="1"/>
  <c r="C400" i="2"/>
  <c r="D400" i="2" s="1"/>
  <c r="C408" i="2"/>
  <c r="D408" i="2" s="1"/>
  <c r="C416" i="2"/>
  <c r="D416" i="2" s="1"/>
  <c r="C424" i="2"/>
  <c r="D424" i="2" s="1"/>
  <c r="C432" i="2"/>
  <c r="D432" i="2" s="1"/>
  <c r="C440" i="2"/>
  <c r="D440" i="2" s="1"/>
  <c r="C448" i="2"/>
  <c r="D448" i="2" s="1"/>
  <c r="C456" i="2"/>
  <c r="D456" i="2" s="1"/>
  <c r="C464" i="2"/>
  <c r="D464" i="2" s="1"/>
  <c r="C472" i="2"/>
  <c r="D472" i="2" s="1"/>
  <c r="C480" i="2"/>
  <c r="D480" i="2" s="1"/>
  <c r="C488" i="2"/>
  <c r="D488" i="2" s="1"/>
  <c r="C496" i="2"/>
  <c r="D496" i="2" s="1"/>
  <c r="C504" i="2"/>
  <c r="D504" i="2" s="1"/>
  <c r="Y309" i="2"/>
  <c r="C321" i="2"/>
  <c r="D321" i="2" s="1"/>
  <c r="C361" i="2"/>
  <c r="D361" i="2" s="1"/>
  <c r="C409" i="2"/>
  <c r="D409" i="2" s="1"/>
  <c r="C457" i="2"/>
  <c r="D457" i="2" s="1"/>
  <c r="C497" i="2"/>
  <c r="D497" i="2" s="1"/>
  <c r="C314" i="2"/>
  <c r="D314" i="2" s="1"/>
  <c r="C362" i="2"/>
  <c r="D362" i="2" s="1"/>
  <c r="C410" i="2"/>
  <c r="D410" i="2" s="1"/>
  <c r="C450" i="2"/>
  <c r="D450" i="2" s="1"/>
  <c r="C498" i="2"/>
  <c r="D498" i="2" s="1"/>
  <c r="C315" i="2"/>
  <c r="D315" i="2" s="1"/>
  <c r="C323" i="2"/>
  <c r="D323" i="2" s="1"/>
  <c r="C331" i="2"/>
  <c r="D331" i="2" s="1"/>
  <c r="C339" i="2"/>
  <c r="D339" i="2" s="1"/>
  <c r="C347" i="2"/>
  <c r="D347" i="2" s="1"/>
  <c r="C355" i="2"/>
  <c r="D355" i="2" s="1"/>
  <c r="C363" i="2"/>
  <c r="D363" i="2" s="1"/>
  <c r="C371" i="2"/>
  <c r="D371" i="2" s="1"/>
  <c r="C379" i="2"/>
  <c r="D379" i="2" s="1"/>
  <c r="C387" i="2"/>
  <c r="D387" i="2" s="1"/>
  <c r="C395" i="2"/>
  <c r="D395" i="2" s="1"/>
  <c r="C403" i="2"/>
  <c r="D403" i="2" s="1"/>
  <c r="C411" i="2"/>
  <c r="D411" i="2" s="1"/>
  <c r="C419" i="2"/>
  <c r="D419" i="2" s="1"/>
  <c r="C427" i="2"/>
  <c r="D427" i="2" s="1"/>
  <c r="C435" i="2"/>
  <c r="D435" i="2" s="1"/>
  <c r="C443" i="2"/>
  <c r="D443" i="2" s="1"/>
  <c r="C451" i="2"/>
  <c r="D451" i="2" s="1"/>
  <c r="C459" i="2"/>
  <c r="D459" i="2" s="1"/>
  <c r="C467" i="2"/>
  <c r="D467" i="2" s="1"/>
  <c r="C475" i="2"/>
  <c r="D475" i="2" s="1"/>
  <c r="C483" i="2"/>
  <c r="D483" i="2" s="1"/>
  <c r="C491" i="2"/>
  <c r="D491" i="2" s="1"/>
  <c r="C499" i="2"/>
  <c r="D499" i="2" s="1"/>
  <c r="C507" i="2"/>
  <c r="D507" i="2" s="1"/>
  <c r="Y213" i="2"/>
  <c r="AF213" i="2" s="1"/>
  <c r="AG213" i="2" s="1"/>
  <c r="AH213" i="2" s="1"/>
  <c r="C345" i="2"/>
  <c r="D345" i="2" s="1"/>
  <c r="C385" i="2"/>
  <c r="D385" i="2" s="1"/>
  <c r="C401" i="2"/>
  <c r="D401" i="2" s="1"/>
  <c r="C433" i="2"/>
  <c r="D433" i="2" s="1"/>
  <c r="C473" i="2"/>
  <c r="D473" i="2" s="1"/>
  <c r="C505" i="2"/>
  <c r="D505" i="2" s="1"/>
  <c r="C354" i="2"/>
  <c r="D354" i="2" s="1"/>
  <c r="C386" i="2"/>
  <c r="D386" i="2" s="1"/>
  <c r="C434" i="2"/>
  <c r="D434" i="2" s="1"/>
  <c r="C474" i="2"/>
  <c r="D474" i="2" s="1"/>
  <c r="Y216" i="2"/>
  <c r="AI216" i="2" s="1"/>
  <c r="Y215" i="2"/>
  <c r="Y214" i="2"/>
  <c r="D50" i="2"/>
  <c r="N50" i="2" s="1"/>
  <c r="Y270" i="2"/>
  <c r="AI270" i="2" s="1"/>
  <c r="Y278" i="2"/>
  <c r="AI278" i="2" s="1"/>
  <c r="Y263" i="2"/>
  <c r="AI263" i="2" s="1"/>
  <c r="Y271" i="2"/>
  <c r="AI271" i="2" s="1"/>
  <c r="Y279" i="2"/>
  <c r="AI279" i="2" s="1"/>
  <c r="Y287" i="2"/>
  <c r="AI287" i="2" s="1"/>
  <c r="Y295" i="2"/>
  <c r="AI295" i="2" s="1"/>
  <c r="Y303" i="2"/>
  <c r="AI303" i="2" s="1"/>
  <c r="Y311" i="2"/>
  <c r="AI311" i="2" s="1"/>
  <c r="Y319" i="2"/>
  <c r="AI319" i="2" s="1"/>
  <c r="Y327" i="2"/>
  <c r="AI327" i="2" s="1"/>
  <c r="Y335" i="2"/>
  <c r="AI335" i="2" s="1"/>
  <c r="Y343" i="2"/>
  <c r="AI343" i="2" s="1"/>
  <c r="Y351" i="2"/>
  <c r="AI351" i="2" s="1"/>
  <c r="Y359" i="2"/>
  <c r="AI359" i="2" s="1"/>
  <c r="Y367" i="2"/>
  <c r="AI367" i="2" s="1"/>
  <c r="Y375" i="2"/>
  <c r="AI375" i="2" s="1"/>
  <c r="Y383" i="2"/>
  <c r="AI383" i="2" s="1"/>
  <c r="Y391" i="2"/>
  <c r="AI391" i="2" s="1"/>
  <c r="Y399" i="2"/>
  <c r="AI399" i="2" s="1"/>
  <c r="Y407" i="2"/>
  <c r="AI407" i="2" s="1"/>
  <c r="Y236" i="2"/>
  <c r="AI236" i="2" s="1"/>
  <c r="Y244" i="2"/>
  <c r="AI244" i="2" s="1"/>
  <c r="Y252" i="2"/>
  <c r="AI252" i="2" s="1"/>
  <c r="Y260" i="2"/>
  <c r="AI260" i="2" s="1"/>
  <c r="Y231" i="2"/>
  <c r="AI231" i="2" s="1"/>
  <c r="Y220" i="2"/>
  <c r="AI220" i="2" s="1"/>
  <c r="Y292" i="2"/>
  <c r="AI292" i="2" s="1"/>
  <c r="Y308" i="2"/>
  <c r="AI308" i="2" s="1"/>
  <c r="Y316" i="2"/>
  <c r="AI316" i="2" s="1"/>
  <c r="Y324" i="2"/>
  <c r="AI324" i="2" s="1"/>
  <c r="Y340" i="2"/>
  <c r="AI340" i="2" s="1"/>
  <c r="Y372" i="2"/>
  <c r="AI372" i="2" s="1"/>
  <c r="Y380" i="2"/>
  <c r="AI380" i="2" s="1"/>
  <c r="Y412" i="2"/>
  <c r="AI412" i="2" s="1"/>
  <c r="Y257" i="2"/>
  <c r="AI257" i="2" s="1"/>
  <c r="Y225" i="2"/>
  <c r="AI225" i="2" s="1"/>
  <c r="Y264" i="2"/>
  <c r="AI264" i="2" s="1"/>
  <c r="Y272" i="2"/>
  <c r="AI272" i="2" s="1"/>
  <c r="Y280" i="2"/>
  <c r="AI280" i="2" s="1"/>
  <c r="Y288" i="2"/>
  <c r="AI288" i="2" s="1"/>
  <c r="Y296" i="2"/>
  <c r="AI296" i="2" s="1"/>
  <c r="Y304" i="2"/>
  <c r="AI304" i="2" s="1"/>
  <c r="Y312" i="2"/>
  <c r="AI312" i="2" s="1"/>
  <c r="Y320" i="2"/>
  <c r="AI320" i="2" s="1"/>
  <c r="Y328" i="2"/>
  <c r="AI328" i="2" s="1"/>
  <c r="Y336" i="2"/>
  <c r="AI336" i="2" s="1"/>
  <c r="Y344" i="2"/>
  <c r="AI344" i="2" s="1"/>
  <c r="Y352" i="2"/>
  <c r="AI352" i="2" s="1"/>
  <c r="Y360" i="2"/>
  <c r="AI360" i="2" s="1"/>
  <c r="Y368" i="2"/>
  <c r="AI368" i="2" s="1"/>
  <c r="Y376" i="2"/>
  <c r="AI376" i="2" s="1"/>
  <c r="Y384" i="2"/>
  <c r="AI384" i="2" s="1"/>
  <c r="Y392" i="2"/>
  <c r="AI392" i="2" s="1"/>
  <c r="Y400" i="2"/>
  <c r="AI400" i="2" s="1"/>
  <c r="Y408" i="2"/>
  <c r="AI408" i="2" s="1"/>
  <c r="Y237" i="2"/>
  <c r="AI237" i="2" s="1"/>
  <c r="Y245" i="2"/>
  <c r="AI245" i="2" s="1"/>
  <c r="Y253" i="2"/>
  <c r="AI253" i="2" s="1"/>
  <c r="Y261" i="2"/>
  <c r="AI261" i="2" s="1"/>
  <c r="Y232" i="2"/>
  <c r="AI232" i="2" s="1"/>
  <c r="Y221" i="2"/>
  <c r="AI221" i="2" s="1"/>
  <c r="Y265" i="2"/>
  <c r="AI265" i="2" s="1"/>
  <c r="Y273" i="2"/>
  <c r="AI273" i="2" s="1"/>
  <c r="Y281" i="2"/>
  <c r="AI281" i="2" s="1"/>
  <c r="Y289" i="2"/>
  <c r="AI289" i="2" s="1"/>
  <c r="Y297" i="2"/>
  <c r="AI297" i="2" s="1"/>
  <c r="Y305" i="2"/>
  <c r="AI305" i="2" s="1"/>
  <c r="Y313" i="2"/>
  <c r="AI313" i="2" s="1"/>
  <c r="Y321" i="2"/>
  <c r="AI321" i="2" s="1"/>
  <c r="Y329" i="2"/>
  <c r="AI329" i="2" s="1"/>
  <c r="Y337" i="2"/>
  <c r="AI337" i="2" s="1"/>
  <c r="Y345" i="2"/>
  <c r="AI345" i="2" s="1"/>
  <c r="Y353" i="2"/>
  <c r="AI353" i="2" s="1"/>
  <c r="Y361" i="2"/>
  <c r="AI361" i="2" s="1"/>
  <c r="Y369" i="2"/>
  <c r="AI369" i="2" s="1"/>
  <c r="Y377" i="2"/>
  <c r="AI377" i="2" s="1"/>
  <c r="Y385" i="2"/>
  <c r="AI385" i="2" s="1"/>
  <c r="Y393" i="2"/>
  <c r="AI393" i="2" s="1"/>
  <c r="Y401" i="2"/>
  <c r="AI401" i="2" s="1"/>
  <c r="Y409" i="2"/>
  <c r="AI409" i="2" s="1"/>
  <c r="Y238" i="2"/>
  <c r="AI238" i="2" s="1"/>
  <c r="Y246" i="2"/>
  <c r="AI246" i="2" s="1"/>
  <c r="Y254" i="2"/>
  <c r="AI254" i="2" s="1"/>
  <c r="Y262" i="2"/>
  <c r="AI262" i="2" s="1"/>
  <c r="Y233" i="2"/>
  <c r="AI233" i="2" s="1"/>
  <c r="Y222" i="2"/>
  <c r="AI222" i="2" s="1"/>
  <c r="Y300" i="2"/>
  <c r="AI300" i="2" s="1"/>
  <c r="Y356" i="2"/>
  <c r="AI356" i="2" s="1"/>
  <c r="Y396" i="2"/>
  <c r="AI396" i="2" s="1"/>
  <c r="Y241" i="2"/>
  <c r="AI241" i="2" s="1"/>
  <c r="Y217" i="2"/>
  <c r="AI217" i="2" s="1"/>
  <c r="Y266" i="2"/>
  <c r="AI266" i="2" s="1"/>
  <c r="Y274" i="2"/>
  <c r="AI274" i="2" s="1"/>
  <c r="Y282" i="2"/>
  <c r="AI282" i="2" s="1"/>
  <c r="Y290" i="2"/>
  <c r="AI290" i="2" s="1"/>
  <c r="Y298" i="2"/>
  <c r="AI298" i="2" s="1"/>
  <c r="Y306" i="2"/>
  <c r="AI306" i="2" s="1"/>
  <c r="Y314" i="2"/>
  <c r="AI314" i="2" s="1"/>
  <c r="Y322" i="2"/>
  <c r="AI322" i="2" s="1"/>
  <c r="Y330" i="2"/>
  <c r="AI330" i="2" s="1"/>
  <c r="Y338" i="2"/>
  <c r="AI338" i="2" s="1"/>
  <c r="Y346" i="2"/>
  <c r="AI346" i="2" s="1"/>
  <c r="Y354" i="2"/>
  <c r="AI354" i="2" s="1"/>
  <c r="Y362" i="2"/>
  <c r="AI362" i="2" s="1"/>
  <c r="Y370" i="2"/>
  <c r="AI370" i="2" s="1"/>
  <c r="Y378" i="2"/>
  <c r="AI378" i="2" s="1"/>
  <c r="Y386" i="2"/>
  <c r="AI386" i="2" s="1"/>
  <c r="Y394" i="2"/>
  <c r="AI394" i="2" s="1"/>
  <c r="Y402" i="2"/>
  <c r="AI402" i="2" s="1"/>
  <c r="Y410" i="2"/>
  <c r="AI410" i="2" s="1"/>
  <c r="Y239" i="2"/>
  <c r="AI239" i="2" s="1"/>
  <c r="Y247" i="2"/>
  <c r="AI247" i="2" s="1"/>
  <c r="Y255" i="2"/>
  <c r="AI255" i="2" s="1"/>
  <c r="Y226" i="2"/>
  <c r="AI226" i="2" s="1"/>
  <c r="Y234" i="2"/>
  <c r="AI234" i="2" s="1"/>
  <c r="Y223" i="2"/>
  <c r="AI223" i="2" s="1"/>
  <c r="Y284" i="2"/>
  <c r="AI284" i="2" s="1"/>
  <c r="Y332" i="2"/>
  <c r="AI332" i="2" s="1"/>
  <c r="Y364" i="2"/>
  <c r="AI364" i="2" s="1"/>
  <c r="Y388" i="2"/>
  <c r="AI388" i="2" s="1"/>
  <c r="Y249" i="2"/>
  <c r="AI249" i="2" s="1"/>
  <c r="Y267" i="2"/>
  <c r="AI267" i="2" s="1"/>
  <c r="Y275" i="2"/>
  <c r="AI275" i="2" s="1"/>
  <c r="Y283" i="2"/>
  <c r="AI283" i="2" s="1"/>
  <c r="Y291" i="2"/>
  <c r="AI291" i="2" s="1"/>
  <c r="Y299" i="2"/>
  <c r="AI299" i="2" s="1"/>
  <c r="Y307" i="2"/>
  <c r="AI307" i="2" s="1"/>
  <c r="Y315" i="2"/>
  <c r="AI315" i="2" s="1"/>
  <c r="Y323" i="2"/>
  <c r="AI323" i="2" s="1"/>
  <c r="Y331" i="2"/>
  <c r="AI331" i="2" s="1"/>
  <c r="Y339" i="2"/>
  <c r="AI339" i="2" s="1"/>
  <c r="Y347" i="2"/>
  <c r="AI347" i="2" s="1"/>
  <c r="Y355" i="2"/>
  <c r="AI355" i="2" s="1"/>
  <c r="Y363" i="2"/>
  <c r="AI363" i="2" s="1"/>
  <c r="Y371" i="2"/>
  <c r="AI371" i="2" s="1"/>
  <c r="Y379" i="2"/>
  <c r="AI379" i="2" s="1"/>
  <c r="Y387" i="2"/>
  <c r="AI387" i="2" s="1"/>
  <c r="Y395" i="2"/>
  <c r="AI395" i="2" s="1"/>
  <c r="Y403" i="2"/>
  <c r="AI403" i="2" s="1"/>
  <c r="Y411" i="2"/>
  <c r="AI411" i="2" s="1"/>
  <c r="Y240" i="2"/>
  <c r="AI240" i="2" s="1"/>
  <c r="Y248" i="2"/>
  <c r="AI248" i="2" s="1"/>
  <c r="Y256" i="2"/>
  <c r="AI256" i="2" s="1"/>
  <c r="Y227" i="2"/>
  <c r="AI227" i="2" s="1"/>
  <c r="Y224" i="2"/>
  <c r="AI224" i="2" s="1"/>
  <c r="Y276" i="2"/>
  <c r="AI276" i="2" s="1"/>
  <c r="Y348" i="2"/>
  <c r="AI348" i="2" s="1"/>
  <c r="Y404" i="2"/>
  <c r="AI404" i="2" s="1"/>
  <c r="Y228" i="2"/>
  <c r="AI228" i="2" s="1"/>
  <c r="Y268" i="2"/>
  <c r="AI268" i="2" s="1"/>
  <c r="Y269" i="2"/>
  <c r="AI269" i="2" s="1"/>
  <c r="Y277" i="2"/>
  <c r="AI277" i="2" s="1"/>
  <c r="Y285" i="2"/>
  <c r="AI285" i="2" s="1"/>
  <c r="Y293" i="2"/>
  <c r="AI293" i="2" s="1"/>
  <c r="Y301" i="2"/>
  <c r="AI301" i="2" s="1"/>
  <c r="Y317" i="2"/>
  <c r="AI317" i="2" s="1"/>
  <c r="Y325" i="2"/>
  <c r="AI325" i="2" s="1"/>
  <c r="Y333" i="2"/>
  <c r="AI333" i="2" s="1"/>
  <c r="Y341" i="2"/>
  <c r="AI341" i="2" s="1"/>
  <c r="Y349" i="2"/>
  <c r="AI349" i="2" s="1"/>
  <c r="Y357" i="2"/>
  <c r="AI357" i="2" s="1"/>
  <c r="Y365" i="2"/>
  <c r="AI365" i="2" s="1"/>
  <c r="Y373" i="2"/>
  <c r="AI373" i="2" s="1"/>
  <c r="Y381" i="2"/>
  <c r="AI381" i="2" s="1"/>
  <c r="Y389" i="2"/>
  <c r="AI389" i="2" s="1"/>
  <c r="Y397" i="2"/>
  <c r="AI397" i="2" s="1"/>
  <c r="Y405" i="2"/>
  <c r="AI405" i="2" s="1"/>
  <c r="Y242" i="2"/>
  <c r="AI242" i="2" s="1"/>
  <c r="Y250" i="2"/>
  <c r="AI250" i="2" s="1"/>
  <c r="Y258" i="2"/>
  <c r="AI258" i="2" s="1"/>
  <c r="Y229" i="2"/>
  <c r="AI229" i="2" s="1"/>
  <c r="Y218" i="2"/>
  <c r="Y286" i="2"/>
  <c r="AI286" i="2" s="1"/>
  <c r="Y294" i="2"/>
  <c r="AI294" i="2" s="1"/>
  <c r="Y302" i="2"/>
  <c r="AI302" i="2" s="1"/>
  <c r="Y310" i="2"/>
  <c r="AI310" i="2" s="1"/>
  <c r="Y318" i="2"/>
  <c r="AI318" i="2" s="1"/>
  <c r="Y326" i="2"/>
  <c r="AI326" i="2" s="1"/>
  <c r="Y334" i="2"/>
  <c r="AI334" i="2" s="1"/>
  <c r="Y342" i="2"/>
  <c r="AI342" i="2" s="1"/>
  <c r="Y350" i="2"/>
  <c r="AI350" i="2" s="1"/>
  <c r="Y358" i="2"/>
  <c r="AI358" i="2" s="1"/>
  <c r="Y366" i="2"/>
  <c r="AI366" i="2" s="1"/>
  <c r="Y374" i="2"/>
  <c r="AI374" i="2" s="1"/>
  <c r="Y382" i="2"/>
  <c r="AI382" i="2" s="1"/>
  <c r="Y390" i="2"/>
  <c r="AI390" i="2" s="1"/>
  <c r="Y398" i="2"/>
  <c r="AI398" i="2" s="1"/>
  <c r="Y406" i="2"/>
  <c r="AI406" i="2" s="1"/>
  <c r="Y235" i="2"/>
  <c r="AI235" i="2" s="1"/>
  <c r="Y243" i="2"/>
  <c r="AI243" i="2" s="1"/>
  <c r="Y251" i="2"/>
  <c r="AI251" i="2" s="1"/>
  <c r="Y259" i="2"/>
  <c r="AI259" i="2" s="1"/>
  <c r="Y230" i="2"/>
  <c r="AI230" i="2" s="1"/>
  <c r="Y219" i="2"/>
  <c r="AI219" i="2" s="1"/>
  <c r="E386" i="2" l="1"/>
  <c r="F386" i="2" s="1"/>
  <c r="G386" i="2"/>
  <c r="H386" i="2" s="1"/>
  <c r="E451" i="2"/>
  <c r="F451" i="2" s="1"/>
  <c r="G451" i="2"/>
  <c r="H451" i="2" s="1"/>
  <c r="E387" i="2"/>
  <c r="F387" i="2" s="1"/>
  <c r="G387" i="2"/>
  <c r="H387" i="2" s="1"/>
  <c r="E323" i="2"/>
  <c r="F323" i="2" s="1"/>
  <c r="G323" i="2"/>
  <c r="H323" i="2" s="1"/>
  <c r="E457" i="2"/>
  <c r="F457" i="2" s="1"/>
  <c r="G457" i="2"/>
  <c r="H457" i="2" s="1"/>
  <c r="E480" i="2"/>
  <c r="F480" i="2" s="1"/>
  <c r="G480" i="2"/>
  <c r="H480" i="2" s="1"/>
  <c r="E416" i="2"/>
  <c r="F416" i="2" s="1"/>
  <c r="G416" i="2"/>
  <c r="H416" i="2" s="1"/>
  <c r="E352" i="2"/>
  <c r="F352" i="2" s="1"/>
  <c r="G352" i="2"/>
  <c r="H352" i="2" s="1"/>
  <c r="E346" i="2"/>
  <c r="F346" i="2" s="1"/>
  <c r="G346" i="2"/>
  <c r="H346" i="2" s="1"/>
  <c r="E455" i="2"/>
  <c r="F455" i="2" s="1"/>
  <c r="G455" i="2"/>
  <c r="H455" i="2" s="1"/>
  <c r="E391" i="2"/>
  <c r="F391" i="2" s="1"/>
  <c r="G391" i="2"/>
  <c r="H391" i="2" s="1"/>
  <c r="E327" i="2"/>
  <c r="F327" i="2" s="1"/>
  <c r="G327" i="2"/>
  <c r="H327" i="2" s="1"/>
  <c r="E503" i="2"/>
  <c r="F503" i="2" s="1"/>
  <c r="G503" i="2"/>
  <c r="H503" i="2" s="1"/>
  <c r="E430" i="2"/>
  <c r="F430" i="2" s="1"/>
  <c r="G430" i="2"/>
  <c r="H430" i="2" s="1"/>
  <c r="E366" i="2"/>
  <c r="F366" i="2" s="1"/>
  <c r="G366" i="2"/>
  <c r="H366" i="2" s="1"/>
  <c r="E490" i="2"/>
  <c r="F490" i="2" s="1"/>
  <c r="G490" i="2"/>
  <c r="H490" i="2" s="1"/>
  <c r="E369" i="2"/>
  <c r="F369" i="2" s="1"/>
  <c r="G369" i="2"/>
  <c r="H369" i="2" s="1"/>
  <c r="E477" i="2"/>
  <c r="F477" i="2" s="1"/>
  <c r="G477" i="2"/>
  <c r="H477" i="2" s="1"/>
  <c r="E413" i="2"/>
  <c r="F413" i="2" s="1"/>
  <c r="G413" i="2"/>
  <c r="H413" i="2" s="1"/>
  <c r="E349" i="2"/>
  <c r="F349" i="2" s="1"/>
  <c r="G349" i="2"/>
  <c r="H349" i="2" s="1"/>
  <c r="E322" i="2"/>
  <c r="F322" i="2" s="1"/>
  <c r="G322" i="2"/>
  <c r="H322" i="2" s="1"/>
  <c r="E500" i="2"/>
  <c r="F500" i="2" s="1"/>
  <c r="G500" i="2"/>
  <c r="H500" i="2" s="1"/>
  <c r="E436" i="2"/>
  <c r="F436" i="2" s="1"/>
  <c r="G436" i="2"/>
  <c r="H436" i="2" s="1"/>
  <c r="E372" i="2"/>
  <c r="F372" i="2" s="1"/>
  <c r="G372" i="2"/>
  <c r="H372" i="2" s="1"/>
  <c r="E354" i="2"/>
  <c r="F354" i="2" s="1"/>
  <c r="G354" i="2"/>
  <c r="H354" i="2" s="1"/>
  <c r="E507" i="2"/>
  <c r="F507" i="2" s="1"/>
  <c r="G507" i="2"/>
  <c r="H507" i="2" s="1"/>
  <c r="E443" i="2"/>
  <c r="F443" i="2" s="1"/>
  <c r="G443" i="2"/>
  <c r="H443" i="2" s="1"/>
  <c r="E379" i="2"/>
  <c r="F379" i="2" s="1"/>
  <c r="G379" i="2"/>
  <c r="H379" i="2" s="1"/>
  <c r="E315" i="2"/>
  <c r="F315" i="2" s="1"/>
  <c r="G315" i="2"/>
  <c r="H315" i="2" s="1"/>
  <c r="E409" i="2"/>
  <c r="F409" i="2" s="1"/>
  <c r="G409" i="2"/>
  <c r="H409" i="2" s="1"/>
  <c r="E472" i="2"/>
  <c r="F472" i="2" s="1"/>
  <c r="G472" i="2"/>
  <c r="H472" i="2" s="1"/>
  <c r="E408" i="2"/>
  <c r="F408" i="2" s="1"/>
  <c r="G408" i="2"/>
  <c r="H408" i="2" s="1"/>
  <c r="E344" i="2"/>
  <c r="F344" i="2" s="1"/>
  <c r="G344" i="2"/>
  <c r="H344" i="2" s="1"/>
  <c r="E465" i="2"/>
  <c r="F465" i="2" s="1"/>
  <c r="G465" i="2"/>
  <c r="H465" i="2" s="1"/>
  <c r="E447" i="2"/>
  <c r="F447" i="2" s="1"/>
  <c r="G447" i="2"/>
  <c r="H447" i="2" s="1"/>
  <c r="E383" i="2"/>
  <c r="F383" i="2" s="1"/>
  <c r="G383" i="2"/>
  <c r="H383" i="2" s="1"/>
  <c r="E319" i="2"/>
  <c r="F319" i="2" s="1"/>
  <c r="G319" i="2"/>
  <c r="H319" i="2" s="1"/>
  <c r="E486" i="2"/>
  <c r="F486" i="2" s="1"/>
  <c r="G486" i="2"/>
  <c r="H486" i="2" s="1"/>
  <c r="E422" i="2"/>
  <c r="F422" i="2" s="1"/>
  <c r="G422" i="2"/>
  <c r="H422" i="2" s="1"/>
  <c r="E358" i="2"/>
  <c r="F358" i="2" s="1"/>
  <c r="G358" i="2"/>
  <c r="H358" i="2" s="1"/>
  <c r="E442" i="2"/>
  <c r="F442" i="2" s="1"/>
  <c r="G442" i="2"/>
  <c r="H442" i="2" s="1"/>
  <c r="E337" i="2"/>
  <c r="F337" i="2" s="1"/>
  <c r="G337" i="2"/>
  <c r="H337" i="2" s="1"/>
  <c r="E469" i="2"/>
  <c r="F469" i="2" s="1"/>
  <c r="G469" i="2"/>
  <c r="H469" i="2" s="1"/>
  <c r="E405" i="2"/>
  <c r="F405" i="2" s="1"/>
  <c r="G405" i="2"/>
  <c r="H405" i="2" s="1"/>
  <c r="E341" i="2"/>
  <c r="F341" i="2" s="1"/>
  <c r="G341" i="2"/>
  <c r="H341" i="2" s="1"/>
  <c r="E481" i="2"/>
  <c r="F481" i="2" s="1"/>
  <c r="G481" i="2"/>
  <c r="H481" i="2" s="1"/>
  <c r="E492" i="2"/>
  <c r="F492" i="2" s="1"/>
  <c r="G492" i="2"/>
  <c r="H492" i="2" s="1"/>
  <c r="E428" i="2"/>
  <c r="F428" i="2" s="1"/>
  <c r="G428" i="2"/>
  <c r="H428" i="2" s="1"/>
  <c r="E364" i="2"/>
  <c r="F364" i="2" s="1"/>
  <c r="G364" i="2"/>
  <c r="H364" i="2" s="1"/>
  <c r="E505" i="2"/>
  <c r="F505" i="2" s="1"/>
  <c r="G505" i="2"/>
  <c r="H505" i="2" s="1"/>
  <c r="E499" i="2"/>
  <c r="F499" i="2" s="1"/>
  <c r="G499" i="2"/>
  <c r="H499" i="2" s="1"/>
  <c r="E435" i="2"/>
  <c r="F435" i="2" s="1"/>
  <c r="G435" i="2"/>
  <c r="H435" i="2" s="1"/>
  <c r="E371" i="2"/>
  <c r="F371" i="2" s="1"/>
  <c r="G371" i="2"/>
  <c r="H371" i="2" s="1"/>
  <c r="E498" i="2"/>
  <c r="F498" i="2" s="1"/>
  <c r="G498" i="2"/>
  <c r="H498" i="2" s="1"/>
  <c r="E361" i="2"/>
  <c r="F361" i="2" s="1"/>
  <c r="G361" i="2"/>
  <c r="H361" i="2" s="1"/>
  <c r="E464" i="2"/>
  <c r="F464" i="2" s="1"/>
  <c r="G464" i="2"/>
  <c r="H464" i="2" s="1"/>
  <c r="E400" i="2"/>
  <c r="F400" i="2" s="1"/>
  <c r="G400" i="2"/>
  <c r="H400" i="2" s="1"/>
  <c r="E336" i="2"/>
  <c r="F336" i="2" s="1"/>
  <c r="G336" i="2"/>
  <c r="H336" i="2" s="1"/>
  <c r="E393" i="2"/>
  <c r="F393" i="2" s="1"/>
  <c r="G393" i="2"/>
  <c r="H393" i="2" s="1"/>
  <c r="E439" i="2"/>
  <c r="F439" i="2" s="1"/>
  <c r="G439" i="2"/>
  <c r="H439" i="2" s="1"/>
  <c r="E375" i="2"/>
  <c r="F375" i="2" s="1"/>
  <c r="G375" i="2"/>
  <c r="H375" i="2" s="1"/>
  <c r="E311" i="2"/>
  <c r="F311" i="2" s="1"/>
  <c r="G311" i="2"/>
  <c r="H311" i="2" s="1"/>
  <c r="E478" i="2"/>
  <c r="F478" i="2" s="1"/>
  <c r="G478" i="2"/>
  <c r="H478" i="2" s="1"/>
  <c r="E414" i="2"/>
  <c r="F414" i="2" s="1"/>
  <c r="G414" i="2"/>
  <c r="H414" i="2" s="1"/>
  <c r="E350" i="2"/>
  <c r="F350" i="2" s="1"/>
  <c r="G350" i="2"/>
  <c r="H350" i="2" s="1"/>
  <c r="E402" i="2"/>
  <c r="F402" i="2" s="1"/>
  <c r="G402" i="2"/>
  <c r="H402" i="2" s="1"/>
  <c r="E310" i="2"/>
  <c r="F310" i="2" s="1"/>
  <c r="G310" i="2"/>
  <c r="H310" i="2" s="1"/>
  <c r="E461" i="2"/>
  <c r="F461" i="2" s="1"/>
  <c r="G461" i="2"/>
  <c r="H461" i="2" s="1"/>
  <c r="E397" i="2"/>
  <c r="F397" i="2" s="1"/>
  <c r="G397" i="2"/>
  <c r="H397" i="2" s="1"/>
  <c r="E333" i="2"/>
  <c r="F333" i="2" s="1"/>
  <c r="G333" i="2"/>
  <c r="H333" i="2" s="1"/>
  <c r="E425" i="2"/>
  <c r="F425" i="2" s="1"/>
  <c r="G425" i="2"/>
  <c r="H425" i="2" s="1"/>
  <c r="E484" i="2"/>
  <c r="F484" i="2" s="1"/>
  <c r="G484" i="2"/>
  <c r="H484" i="2" s="1"/>
  <c r="E420" i="2"/>
  <c r="F420" i="2" s="1"/>
  <c r="G420" i="2"/>
  <c r="H420" i="2" s="1"/>
  <c r="E356" i="2"/>
  <c r="F356" i="2" s="1"/>
  <c r="G356" i="2"/>
  <c r="H356" i="2" s="1"/>
  <c r="AI214" i="2"/>
  <c r="AM214" i="2" s="1"/>
  <c r="Z214" i="2"/>
  <c r="AA214" i="2" s="1"/>
  <c r="E473" i="2"/>
  <c r="F473" i="2" s="1"/>
  <c r="G473" i="2"/>
  <c r="H473" i="2" s="1"/>
  <c r="E491" i="2"/>
  <c r="F491" i="2" s="1"/>
  <c r="G491" i="2"/>
  <c r="H491" i="2" s="1"/>
  <c r="E427" i="2"/>
  <c r="F427" i="2" s="1"/>
  <c r="G427" i="2"/>
  <c r="H427" i="2" s="1"/>
  <c r="E363" i="2"/>
  <c r="F363" i="2" s="1"/>
  <c r="G363" i="2"/>
  <c r="H363" i="2" s="1"/>
  <c r="E450" i="2"/>
  <c r="F450" i="2" s="1"/>
  <c r="G450" i="2"/>
  <c r="H450" i="2" s="1"/>
  <c r="E321" i="2"/>
  <c r="F321" i="2" s="1"/>
  <c r="G321" i="2"/>
  <c r="H321" i="2" s="1"/>
  <c r="E456" i="2"/>
  <c r="F456" i="2" s="1"/>
  <c r="G456" i="2"/>
  <c r="H456" i="2" s="1"/>
  <c r="E392" i="2"/>
  <c r="F392" i="2" s="1"/>
  <c r="G392" i="2"/>
  <c r="H392" i="2" s="1"/>
  <c r="E328" i="2"/>
  <c r="F328" i="2" s="1"/>
  <c r="G328" i="2"/>
  <c r="H328" i="2" s="1"/>
  <c r="E329" i="2"/>
  <c r="F329" i="2" s="1"/>
  <c r="G329" i="2"/>
  <c r="H329" i="2" s="1"/>
  <c r="E431" i="2"/>
  <c r="F431" i="2" s="1"/>
  <c r="G431" i="2"/>
  <c r="H431" i="2" s="1"/>
  <c r="E367" i="2"/>
  <c r="F367" i="2" s="1"/>
  <c r="G367" i="2"/>
  <c r="H367" i="2" s="1"/>
  <c r="E458" i="2"/>
  <c r="F458" i="2" s="1"/>
  <c r="G458" i="2"/>
  <c r="H458" i="2" s="1"/>
  <c r="E470" i="2"/>
  <c r="F470" i="2" s="1"/>
  <c r="G470" i="2"/>
  <c r="H470" i="2" s="1"/>
  <c r="E406" i="2"/>
  <c r="F406" i="2" s="1"/>
  <c r="G406" i="2"/>
  <c r="H406" i="2" s="1"/>
  <c r="E342" i="2"/>
  <c r="F342" i="2" s="1"/>
  <c r="G342" i="2"/>
  <c r="H342" i="2" s="1"/>
  <c r="E370" i="2"/>
  <c r="F370" i="2" s="1"/>
  <c r="G370" i="2"/>
  <c r="H370" i="2" s="1"/>
  <c r="E494" i="2"/>
  <c r="F494" i="2" s="1"/>
  <c r="G494" i="2"/>
  <c r="H494" i="2" s="1"/>
  <c r="E453" i="2"/>
  <c r="F453" i="2" s="1"/>
  <c r="G453" i="2"/>
  <c r="H453" i="2" s="1"/>
  <c r="E389" i="2"/>
  <c r="F389" i="2" s="1"/>
  <c r="G389" i="2"/>
  <c r="H389" i="2" s="1"/>
  <c r="E325" i="2"/>
  <c r="F325" i="2" s="1"/>
  <c r="G325" i="2"/>
  <c r="H325" i="2" s="1"/>
  <c r="E377" i="2"/>
  <c r="F377" i="2" s="1"/>
  <c r="G377" i="2"/>
  <c r="H377" i="2" s="1"/>
  <c r="E476" i="2"/>
  <c r="F476" i="2" s="1"/>
  <c r="G476" i="2"/>
  <c r="H476" i="2" s="1"/>
  <c r="E412" i="2"/>
  <c r="F412" i="2" s="1"/>
  <c r="G412" i="2"/>
  <c r="H412" i="2" s="1"/>
  <c r="E348" i="2"/>
  <c r="F348" i="2" s="1"/>
  <c r="G348" i="2"/>
  <c r="H348" i="2" s="1"/>
  <c r="E433" i="2"/>
  <c r="F433" i="2" s="1"/>
  <c r="G433" i="2"/>
  <c r="H433" i="2" s="1"/>
  <c r="E483" i="2"/>
  <c r="F483" i="2" s="1"/>
  <c r="G483" i="2"/>
  <c r="H483" i="2" s="1"/>
  <c r="E419" i="2"/>
  <c r="F419" i="2" s="1"/>
  <c r="G419" i="2"/>
  <c r="H419" i="2" s="1"/>
  <c r="E355" i="2"/>
  <c r="F355" i="2" s="1"/>
  <c r="G355" i="2"/>
  <c r="H355" i="2" s="1"/>
  <c r="E410" i="2"/>
  <c r="F410" i="2" s="1"/>
  <c r="G410" i="2"/>
  <c r="H410" i="2" s="1"/>
  <c r="Z309" i="2"/>
  <c r="AF309" i="2"/>
  <c r="AI309" i="2"/>
  <c r="E448" i="2"/>
  <c r="F448" i="2" s="1"/>
  <c r="G448" i="2"/>
  <c r="H448" i="2" s="1"/>
  <c r="E384" i="2"/>
  <c r="F384" i="2" s="1"/>
  <c r="G384" i="2"/>
  <c r="H384" i="2" s="1"/>
  <c r="E320" i="2"/>
  <c r="F320" i="2" s="1"/>
  <c r="G320" i="2"/>
  <c r="H320" i="2" s="1"/>
  <c r="E487" i="2"/>
  <c r="F487" i="2" s="1"/>
  <c r="G487" i="2"/>
  <c r="H487" i="2" s="1"/>
  <c r="E423" i="2"/>
  <c r="F423" i="2" s="1"/>
  <c r="G423" i="2"/>
  <c r="H423" i="2" s="1"/>
  <c r="E359" i="2"/>
  <c r="F359" i="2" s="1"/>
  <c r="G359" i="2"/>
  <c r="H359" i="2" s="1"/>
  <c r="E394" i="2"/>
  <c r="F394" i="2" s="1"/>
  <c r="G394" i="2"/>
  <c r="H394" i="2" s="1"/>
  <c r="E462" i="2"/>
  <c r="F462" i="2" s="1"/>
  <c r="G462" i="2"/>
  <c r="H462" i="2" s="1"/>
  <c r="E398" i="2"/>
  <c r="F398" i="2" s="1"/>
  <c r="G398" i="2"/>
  <c r="H398" i="2" s="1"/>
  <c r="E334" i="2"/>
  <c r="F334" i="2" s="1"/>
  <c r="G334" i="2"/>
  <c r="H334" i="2" s="1"/>
  <c r="E330" i="2"/>
  <c r="F330" i="2" s="1"/>
  <c r="G330" i="2"/>
  <c r="H330" i="2" s="1"/>
  <c r="E509" i="2"/>
  <c r="F509" i="2" s="1"/>
  <c r="G509" i="2"/>
  <c r="H509" i="2" s="1"/>
  <c r="E445" i="2"/>
  <c r="F445" i="2" s="1"/>
  <c r="G445" i="2"/>
  <c r="H445" i="2" s="1"/>
  <c r="E381" i="2"/>
  <c r="F381" i="2" s="1"/>
  <c r="G381" i="2"/>
  <c r="H381" i="2" s="1"/>
  <c r="E317" i="2"/>
  <c r="F317" i="2" s="1"/>
  <c r="G317" i="2"/>
  <c r="H317" i="2" s="1"/>
  <c r="E313" i="2"/>
  <c r="F313" i="2" s="1"/>
  <c r="G313" i="2"/>
  <c r="H313" i="2" s="1"/>
  <c r="E468" i="2"/>
  <c r="F468" i="2" s="1"/>
  <c r="G468" i="2"/>
  <c r="H468" i="2" s="1"/>
  <c r="E404" i="2"/>
  <c r="F404" i="2" s="1"/>
  <c r="G404" i="2"/>
  <c r="H404" i="2" s="1"/>
  <c r="E340" i="2"/>
  <c r="F340" i="2" s="1"/>
  <c r="G340" i="2"/>
  <c r="H340" i="2" s="1"/>
  <c r="E401" i="2"/>
  <c r="F401" i="2" s="1"/>
  <c r="G401" i="2"/>
  <c r="H401" i="2" s="1"/>
  <c r="E475" i="2"/>
  <c r="F475" i="2" s="1"/>
  <c r="G475" i="2"/>
  <c r="H475" i="2" s="1"/>
  <c r="E411" i="2"/>
  <c r="F411" i="2" s="1"/>
  <c r="G411" i="2"/>
  <c r="H411" i="2" s="1"/>
  <c r="E347" i="2"/>
  <c r="F347" i="2" s="1"/>
  <c r="G347" i="2"/>
  <c r="H347" i="2" s="1"/>
  <c r="E362" i="2"/>
  <c r="F362" i="2" s="1"/>
  <c r="G362" i="2"/>
  <c r="H362" i="2" s="1"/>
  <c r="E504" i="2"/>
  <c r="F504" i="2" s="1"/>
  <c r="G504" i="2"/>
  <c r="H504" i="2" s="1"/>
  <c r="E440" i="2"/>
  <c r="F440" i="2" s="1"/>
  <c r="G440" i="2"/>
  <c r="H440" i="2" s="1"/>
  <c r="E376" i="2"/>
  <c r="F376" i="2" s="1"/>
  <c r="G376" i="2"/>
  <c r="H376" i="2" s="1"/>
  <c r="E312" i="2"/>
  <c r="F312" i="2" s="1"/>
  <c r="G312" i="2"/>
  <c r="H312" i="2" s="1"/>
  <c r="E479" i="2"/>
  <c r="F479" i="2" s="1"/>
  <c r="G479" i="2"/>
  <c r="H479" i="2" s="1"/>
  <c r="E415" i="2"/>
  <c r="F415" i="2" s="1"/>
  <c r="G415" i="2"/>
  <c r="H415" i="2" s="1"/>
  <c r="E351" i="2"/>
  <c r="F351" i="2" s="1"/>
  <c r="G351" i="2"/>
  <c r="H351" i="2" s="1"/>
  <c r="E338" i="2"/>
  <c r="F338" i="2" s="1"/>
  <c r="G338" i="2"/>
  <c r="H338" i="2" s="1"/>
  <c r="E454" i="2"/>
  <c r="F454" i="2" s="1"/>
  <c r="G454" i="2"/>
  <c r="H454" i="2" s="1"/>
  <c r="E390" i="2"/>
  <c r="F390" i="2" s="1"/>
  <c r="G390" i="2"/>
  <c r="H390" i="2" s="1"/>
  <c r="E326" i="2"/>
  <c r="F326" i="2" s="1"/>
  <c r="G326" i="2"/>
  <c r="H326" i="2" s="1"/>
  <c r="E489" i="2"/>
  <c r="F489" i="2" s="1"/>
  <c r="G489" i="2"/>
  <c r="H489" i="2" s="1"/>
  <c r="E501" i="2"/>
  <c r="F501" i="2" s="1"/>
  <c r="G501" i="2"/>
  <c r="H501" i="2" s="1"/>
  <c r="E437" i="2"/>
  <c r="F437" i="2" s="1"/>
  <c r="G437" i="2"/>
  <c r="H437" i="2" s="1"/>
  <c r="E373" i="2"/>
  <c r="F373" i="2" s="1"/>
  <c r="G373" i="2"/>
  <c r="H373" i="2" s="1"/>
  <c r="E482" i="2"/>
  <c r="F482" i="2" s="1"/>
  <c r="G482" i="2"/>
  <c r="H482" i="2" s="1"/>
  <c r="E495" i="2"/>
  <c r="F495" i="2" s="1"/>
  <c r="G495" i="2"/>
  <c r="H495" i="2" s="1"/>
  <c r="E460" i="2"/>
  <c r="F460" i="2" s="1"/>
  <c r="G460" i="2"/>
  <c r="H460" i="2" s="1"/>
  <c r="E396" i="2"/>
  <c r="F396" i="2" s="1"/>
  <c r="G396" i="2"/>
  <c r="H396" i="2" s="1"/>
  <c r="E332" i="2"/>
  <c r="F332" i="2" s="1"/>
  <c r="G332" i="2"/>
  <c r="H332" i="2" s="1"/>
  <c r="E474" i="2"/>
  <c r="F474" i="2" s="1"/>
  <c r="G474" i="2"/>
  <c r="H474" i="2" s="1"/>
  <c r="E385" i="2"/>
  <c r="F385" i="2" s="1"/>
  <c r="G385" i="2"/>
  <c r="H385" i="2" s="1"/>
  <c r="E467" i="2"/>
  <c r="F467" i="2" s="1"/>
  <c r="G467" i="2"/>
  <c r="H467" i="2" s="1"/>
  <c r="E403" i="2"/>
  <c r="F403" i="2" s="1"/>
  <c r="G403" i="2"/>
  <c r="H403" i="2" s="1"/>
  <c r="E339" i="2"/>
  <c r="F339" i="2" s="1"/>
  <c r="G339" i="2"/>
  <c r="H339" i="2" s="1"/>
  <c r="E314" i="2"/>
  <c r="F314" i="2" s="1"/>
  <c r="G314" i="2"/>
  <c r="H314" i="2" s="1"/>
  <c r="E496" i="2"/>
  <c r="F496" i="2" s="1"/>
  <c r="G496" i="2"/>
  <c r="H496" i="2" s="1"/>
  <c r="E432" i="2"/>
  <c r="F432" i="2" s="1"/>
  <c r="G432" i="2"/>
  <c r="H432" i="2" s="1"/>
  <c r="E368" i="2"/>
  <c r="F368" i="2" s="1"/>
  <c r="G368" i="2"/>
  <c r="H368" i="2" s="1"/>
  <c r="E466" i="2"/>
  <c r="F466" i="2" s="1"/>
  <c r="G466" i="2"/>
  <c r="H466" i="2" s="1"/>
  <c r="E471" i="2"/>
  <c r="F471" i="2" s="1"/>
  <c r="G471" i="2"/>
  <c r="H471" i="2" s="1"/>
  <c r="E407" i="2"/>
  <c r="F407" i="2" s="1"/>
  <c r="G407" i="2"/>
  <c r="H407" i="2" s="1"/>
  <c r="E343" i="2"/>
  <c r="F343" i="2" s="1"/>
  <c r="G343" i="2"/>
  <c r="H343" i="2" s="1"/>
  <c r="E441" i="2"/>
  <c r="F441" i="2" s="1"/>
  <c r="G441" i="2"/>
  <c r="H441" i="2" s="1"/>
  <c r="E446" i="2"/>
  <c r="F446" i="2" s="1"/>
  <c r="G446" i="2"/>
  <c r="H446" i="2" s="1"/>
  <c r="E382" i="2"/>
  <c r="F382" i="2" s="1"/>
  <c r="G382" i="2"/>
  <c r="H382" i="2" s="1"/>
  <c r="E318" i="2"/>
  <c r="F318" i="2" s="1"/>
  <c r="G318" i="2"/>
  <c r="H318" i="2" s="1"/>
  <c r="E449" i="2"/>
  <c r="F449" i="2" s="1"/>
  <c r="G449" i="2"/>
  <c r="H449" i="2" s="1"/>
  <c r="E493" i="2"/>
  <c r="F493" i="2" s="1"/>
  <c r="G493" i="2"/>
  <c r="H493" i="2" s="1"/>
  <c r="E429" i="2"/>
  <c r="F429" i="2" s="1"/>
  <c r="G429" i="2"/>
  <c r="H429" i="2" s="1"/>
  <c r="E365" i="2"/>
  <c r="F365" i="2" s="1"/>
  <c r="G365" i="2"/>
  <c r="H365" i="2" s="1"/>
  <c r="E426" i="2"/>
  <c r="F426" i="2" s="1"/>
  <c r="G426" i="2"/>
  <c r="H426" i="2" s="1"/>
  <c r="E502" i="2"/>
  <c r="F502" i="2" s="1"/>
  <c r="G502" i="2"/>
  <c r="H502" i="2" s="1"/>
  <c r="E452" i="2"/>
  <c r="F452" i="2" s="1"/>
  <c r="G452" i="2"/>
  <c r="H452" i="2" s="1"/>
  <c r="E388" i="2"/>
  <c r="F388" i="2" s="1"/>
  <c r="G388" i="2"/>
  <c r="H388" i="2" s="1"/>
  <c r="E324" i="2"/>
  <c r="F324" i="2" s="1"/>
  <c r="G324" i="2"/>
  <c r="H324" i="2" s="1"/>
  <c r="E434" i="2"/>
  <c r="F434" i="2" s="1"/>
  <c r="G434" i="2"/>
  <c r="H434" i="2" s="1"/>
  <c r="E345" i="2"/>
  <c r="F345" i="2" s="1"/>
  <c r="G345" i="2"/>
  <c r="H345" i="2" s="1"/>
  <c r="E459" i="2"/>
  <c r="F459" i="2" s="1"/>
  <c r="G459" i="2"/>
  <c r="H459" i="2" s="1"/>
  <c r="E395" i="2"/>
  <c r="F395" i="2" s="1"/>
  <c r="G395" i="2"/>
  <c r="H395" i="2" s="1"/>
  <c r="E331" i="2"/>
  <c r="F331" i="2" s="1"/>
  <c r="G331" i="2"/>
  <c r="H331" i="2" s="1"/>
  <c r="E497" i="2"/>
  <c r="F497" i="2" s="1"/>
  <c r="G497" i="2"/>
  <c r="H497" i="2" s="1"/>
  <c r="E488" i="2"/>
  <c r="F488" i="2" s="1"/>
  <c r="G488" i="2"/>
  <c r="H488" i="2" s="1"/>
  <c r="E424" i="2"/>
  <c r="F424" i="2" s="1"/>
  <c r="G424" i="2"/>
  <c r="H424" i="2" s="1"/>
  <c r="E360" i="2"/>
  <c r="F360" i="2" s="1"/>
  <c r="G360" i="2"/>
  <c r="H360" i="2" s="1"/>
  <c r="E418" i="2"/>
  <c r="F418" i="2" s="1"/>
  <c r="G418" i="2"/>
  <c r="H418" i="2" s="1"/>
  <c r="E463" i="2"/>
  <c r="F463" i="2" s="1"/>
  <c r="G463" i="2"/>
  <c r="H463" i="2" s="1"/>
  <c r="E399" i="2"/>
  <c r="F399" i="2" s="1"/>
  <c r="G399" i="2"/>
  <c r="H399" i="2" s="1"/>
  <c r="E335" i="2"/>
  <c r="F335" i="2" s="1"/>
  <c r="G335" i="2"/>
  <c r="H335" i="2" s="1"/>
  <c r="E353" i="2"/>
  <c r="F353" i="2" s="1"/>
  <c r="G353" i="2"/>
  <c r="H353" i="2" s="1"/>
  <c r="E438" i="2"/>
  <c r="F438" i="2" s="1"/>
  <c r="G438" i="2"/>
  <c r="H438" i="2" s="1"/>
  <c r="E374" i="2"/>
  <c r="F374" i="2" s="1"/>
  <c r="G374" i="2"/>
  <c r="H374" i="2" s="1"/>
  <c r="E506" i="2"/>
  <c r="F506" i="2" s="1"/>
  <c r="G506" i="2"/>
  <c r="H506" i="2" s="1"/>
  <c r="E417" i="2"/>
  <c r="F417" i="2" s="1"/>
  <c r="G417" i="2"/>
  <c r="H417" i="2" s="1"/>
  <c r="E485" i="2"/>
  <c r="F485" i="2" s="1"/>
  <c r="G485" i="2"/>
  <c r="H485" i="2" s="1"/>
  <c r="E421" i="2"/>
  <c r="F421" i="2" s="1"/>
  <c r="G421" i="2"/>
  <c r="H421" i="2" s="1"/>
  <c r="E357" i="2"/>
  <c r="F357" i="2" s="1"/>
  <c r="G357" i="2"/>
  <c r="H357" i="2" s="1"/>
  <c r="E378" i="2"/>
  <c r="F378" i="2" s="1"/>
  <c r="G378" i="2"/>
  <c r="H378" i="2" s="1"/>
  <c r="E508" i="2"/>
  <c r="F508" i="2" s="1"/>
  <c r="G508" i="2"/>
  <c r="H508" i="2" s="1"/>
  <c r="E444" i="2"/>
  <c r="F444" i="2" s="1"/>
  <c r="G444" i="2"/>
  <c r="H444" i="2" s="1"/>
  <c r="E380" i="2"/>
  <c r="F380" i="2" s="1"/>
  <c r="G380" i="2"/>
  <c r="H380" i="2" s="1"/>
  <c r="E316" i="2"/>
  <c r="F316" i="2" s="1"/>
  <c r="G316" i="2"/>
  <c r="H316" i="2" s="1"/>
  <c r="L50" i="2"/>
  <c r="F50" i="2"/>
  <c r="AI218" i="2"/>
  <c r="AM218" i="2" s="1"/>
  <c r="AF218" i="2"/>
  <c r="AL218" i="2" s="1"/>
  <c r="AM348" i="2"/>
  <c r="AJ348" i="2"/>
  <c r="AK348" i="2" s="1"/>
  <c r="AM403" i="2"/>
  <c r="AJ403" i="2"/>
  <c r="AK403" i="2" s="1"/>
  <c r="AM339" i="2"/>
  <c r="AJ339" i="2"/>
  <c r="AK339" i="2" s="1"/>
  <c r="AM275" i="2"/>
  <c r="AJ275" i="2"/>
  <c r="AK275" i="2" s="1"/>
  <c r="AM234" i="2"/>
  <c r="AJ234" i="2"/>
  <c r="AK234" i="2" s="1"/>
  <c r="AM386" i="2"/>
  <c r="AJ386" i="2"/>
  <c r="AK386" i="2" s="1"/>
  <c r="AM322" i="2"/>
  <c r="AJ322" i="2"/>
  <c r="AK322" i="2" s="1"/>
  <c r="AM217" i="2"/>
  <c r="AJ217" i="2"/>
  <c r="AK217" i="2" s="1"/>
  <c r="AM254" i="2"/>
  <c r="AJ254" i="2"/>
  <c r="AK254" i="2" s="1"/>
  <c r="AM369" i="2"/>
  <c r="AJ369" i="2"/>
  <c r="AK369" i="2" s="1"/>
  <c r="AM305" i="2"/>
  <c r="AJ305" i="2"/>
  <c r="AK305" i="2" s="1"/>
  <c r="AM261" i="2"/>
  <c r="AJ261" i="2"/>
  <c r="AK261" i="2" s="1"/>
  <c r="AM376" i="2"/>
  <c r="AJ376" i="2"/>
  <c r="AK376" i="2" s="1"/>
  <c r="AM230" i="2"/>
  <c r="AJ230" i="2"/>
  <c r="AK230" i="2" s="1"/>
  <c r="AM382" i="2"/>
  <c r="AJ382" i="2"/>
  <c r="AK382" i="2" s="1"/>
  <c r="AM318" i="2"/>
  <c r="AJ318" i="2"/>
  <c r="AK318" i="2" s="1"/>
  <c r="AM250" i="2"/>
  <c r="AJ250" i="2"/>
  <c r="AK250" i="2" s="1"/>
  <c r="AM357" i="2"/>
  <c r="AJ357" i="2"/>
  <c r="AK357" i="2" s="1"/>
  <c r="AM293" i="2"/>
  <c r="AJ293" i="2"/>
  <c r="AK293" i="2" s="1"/>
  <c r="AM276" i="2"/>
  <c r="AJ276" i="2"/>
  <c r="AK276" i="2" s="1"/>
  <c r="AM395" i="2"/>
  <c r="AJ395" i="2"/>
  <c r="AK395" i="2" s="1"/>
  <c r="AM331" i="2"/>
  <c r="AJ331" i="2"/>
  <c r="AK331" i="2" s="1"/>
  <c r="AM267" i="2"/>
  <c r="AJ267" i="2"/>
  <c r="AK267" i="2" s="1"/>
  <c r="AM226" i="2"/>
  <c r="AJ226" i="2"/>
  <c r="AK226" i="2" s="1"/>
  <c r="AM378" i="2"/>
  <c r="AJ378" i="2"/>
  <c r="AK378" i="2" s="1"/>
  <c r="AM314" i="2"/>
  <c r="AJ314" i="2"/>
  <c r="AK314" i="2" s="1"/>
  <c r="AM241" i="2"/>
  <c r="AJ241" i="2"/>
  <c r="AK241" i="2" s="1"/>
  <c r="AM246" i="2"/>
  <c r="AJ246" i="2"/>
  <c r="AK246" i="2" s="1"/>
  <c r="AM361" i="2"/>
  <c r="AJ361" i="2"/>
  <c r="AK361" i="2" s="1"/>
  <c r="AM297" i="2"/>
  <c r="AJ297" i="2"/>
  <c r="AK297" i="2" s="1"/>
  <c r="AM253" i="2"/>
  <c r="AJ253" i="2"/>
  <c r="AK253" i="2" s="1"/>
  <c r="AM368" i="2"/>
  <c r="AJ368" i="2"/>
  <c r="AK368" i="2" s="1"/>
  <c r="AM304" i="2"/>
  <c r="AJ304" i="2"/>
  <c r="AK304" i="2" s="1"/>
  <c r="AM412" i="2"/>
  <c r="AJ412" i="2"/>
  <c r="AK412" i="2" s="1"/>
  <c r="AM220" i="2"/>
  <c r="AJ220" i="2"/>
  <c r="AK220" i="2" s="1"/>
  <c r="AM391" i="2"/>
  <c r="AJ391" i="2"/>
  <c r="AK391" i="2" s="1"/>
  <c r="AM327" i="2"/>
  <c r="AJ327" i="2"/>
  <c r="AK327" i="2" s="1"/>
  <c r="AM263" i="2"/>
  <c r="AJ263" i="2"/>
  <c r="AK263" i="2" s="1"/>
  <c r="AM219" i="2"/>
  <c r="AJ219" i="2"/>
  <c r="AK219" i="2" s="1"/>
  <c r="AM301" i="2"/>
  <c r="AJ301" i="2"/>
  <c r="AK301" i="2" s="1"/>
  <c r="AM349" i="2"/>
  <c r="AJ349" i="2"/>
  <c r="AK349" i="2" s="1"/>
  <c r="AM323" i="2"/>
  <c r="AJ323" i="2"/>
  <c r="AK323" i="2" s="1"/>
  <c r="AM370" i="2"/>
  <c r="AJ370" i="2"/>
  <c r="AK370" i="2" s="1"/>
  <c r="AM289" i="2"/>
  <c r="AJ289" i="2"/>
  <c r="AK289" i="2" s="1"/>
  <c r="AM380" i="2"/>
  <c r="AJ380" i="2"/>
  <c r="AK380" i="2" s="1"/>
  <c r="AM319" i="2"/>
  <c r="AJ319" i="2"/>
  <c r="AK319" i="2" s="1"/>
  <c r="AM405" i="2"/>
  <c r="AJ405" i="2"/>
  <c r="AK405" i="2" s="1"/>
  <c r="AM227" i="2"/>
  <c r="AJ227" i="2"/>
  <c r="AK227" i="2" s="1"/>
  <c r="AM315" i="2"/>
  <c r="AJ315" i="2"/>
  <c r="AK315" i="2" s="1"/>
  <c r="AM388" i="2"/>
  <c r="AJ388" i="2"/>
  <c r="AK388" i="2" s="1"/>
  <c r="AM247" i="2"/>
  <c r="AJ247" i="2"/>
  <c r="AK247" i="2" s="1"/>
  <c r="AM362" i="2"/>
  <c r="AJ362" i="2"/>
  <c r="AK362" i="2" s="1"/>
  <c r="AM298" i="2"/>
  <c r="AJ298" i="2"/>
  <c r="AK298" i="2" s="1"/>
  <c r="AM356" i="2"/>
  <c r="AJ356" i="2"/>
  <c r="AK356" i="2" s="1"/>
  <c r="AM409" i="2"/>
  <c r="AJ409" i="2"/>
  <c r="AK409" i="2" s="1"/>
  <c r="AM345" i="2"/>
  <c r="AJ345" i="2"/>
  <c r="AK345" i="2" s="1"/>
  <c r="AM281" i="2"/>
  <c r="AJ281" i="2"/>
  <c r="AK281" i="2" s="1"/>
  <c r="AM237" i="2"/>
  <c r="AJ237" i="2"/>
  <c r="AK237" i="2" s="1"/>
  <c r="AM352" i="2"/>
  <c r="AJ352" i="2"/>
  <c r="AK352" i="2" s="1"/>
  <c r="AM288" i="2"/>
  <c r="AJ288" i="2"/>
  <c r="AK288" i="2" s="1"/>
  <c r="AM372" i="2"/>
  <c r="AJ372" i="2"/>
  <c r="AK372" i="2" s="1"/>
  <c r="AM260" i="2"/>
  <c r="AJ260" i="2"/>
  <c r="AK260" i="2" s="1"/>
  <c r="AM375" i="2"/>
  <c r="AJ375" i="2"/>
  <c r="AK375" i="2" s="1"/>
  <c r="AM311" i="2"/>
  <c r="AJ311" i="2"/>
  <c r="AK311" i="2" s="1"/>
  <c r="AM270" i="2"/>
  <c r="AJ270" i="2"/>
  <c r="AK270" i="2" s="1"/>
  <c r="AM390" i="2"/>
  <c r="AJ390" i="2"/>
  <c r="AK390" i="2" s="1"/>
  <c r="AM365" i="2"/>
  <c r="AJ365" i="2"/>
  <c r="AK365" i="2" s="1"/>
  <c r="AM242" i="2"/>
  <c r="AJ242" i="2"/>
  <c r="AK242" i="2" s="1"/>
  <c r="AM387" i="2"/>
  <c r="AJ387" i="2"/>
  <c r="AK387" i="2" s="1"/>
  <c r="AM255" i="2"/>
  <c r="AJ255" i="2"/>
  <c r="AK255" i="2" s="1"/>
  <c r="AM238" i="2"/>
  <c r="AJ238" i="2"/>
  <c r="AK238" i="2" s="1"/>
  <c r="AM296" i="2"/>
  <c r="AJ296" i="2"/>
  <c r="AK296" i="2" s="1"/>
  <c r="AM231" i="2"/>
  <c r="AJ231" i="2"/>
  <c r="AK231" i="2" s="1"/>
  <c r="AM251" i="2"/>
  <c r="AJ251" i="2"/>
  <c r="AK251" i="2" s="1"/>
  <c r="AM341" i="2"/>
  <c r="AJ341" i="2"/>
  <c r="AK341" i="2" s="1"/>
  <c r="AM379" i="2"/>
  <c r="AJ379" i="2"/>
  <c r="AK379" i="2" s="1"/>
  <c r="AM243" i="2"/>
  <c r="AJ243" i="2"/>
  <c r="AK243" i="2" s="1"/>
  <c r="AM358" i="2"/>
  <c r="AJ358" i="2"/>
  <c r="AK358" i="2" s="1"/>
  <c r="AM294" i="2"/>
  <c r="AJ294" i="2"/>
  <c r="AK294" i="2" s="1"/>
  <c r="AM397" i="2"/>
  <c r="AJ397" i="2"/>
  <c r="AK397" i="2" s="1"/>
  <c r="AM333" i="2"/>
  <c r="AJ333" i="2"/>
  <c r="AK333" i="2" s="1"/>
  <c r="AM269" i="2"/>
  <c r="AJ269" i="2"/>
  <c r="AK269" i="2" s="1"/>
  <c r="AM256" i="2"/>
  <c r="AJ256" i="2"/>
  <c r="AK256" i="2" s="1"/>
  <c r="AM371" i="2"/>
  <c r="AJ371" i="2"/>
  <c r="AK371" i="2" s="1"/>
  <c r="AM307" i="2"/>
  <c r="AJ307" i="2"/>
  <c r="AK307" i="2" s="1"/>
  <c r="AM364" i="2"/>
  <c r="AJ364" i="2"/>
  <c r="AK364" i="2" s="1"/>
  <c r="AM239" i="2"/>
  <c r="AJ239" i="2"/>
  <c r="AK239" i="2" s="1"/>
  <c r="AM354" i="2"/>
  <c r="AJ354" i="2"/>
  <c r="AK354" i="2" s="1"/>
  <c r="AM290" i="2"/>
  <c r="AJ290" i="2"/>
  <c r="AK290" i="2" s="1"/>
  <c r="AM300" i="2"/>
  <c r="AJ300" i="2"/>
  <c r="AK300" i="2" s="1"/>
  <c r="AM401" i="2"/>
  <c r="AJ401" i="2"/>
  <c r="AK401" i="2" s="1"/>
  <c r="AM337" i="2"/>
  <c r="AJ337" i="2"/>
  <c r="AK337" i="2" s="1"/>
  <c r="AM273" i="2"/>
  <c r="AJ273" i="2"/>
  <c r="AK273" i="2" s="1"/>
  <c r="AM408" i="2"/>
  <c r="AJ408" i="2"/>
  <c r="AK408" i="2" s="1"/>
  <c r="AM344" i="2"/>
  <c r="AJ344" i="2"/>
  <c r="AK344" i="2" s="1"/>
  <c r="AM280" i="2"/>
  <c r="AJ280" i="2"/>
  <c r="AK280" i="2" s="1"/>
  <c r="AM340" i="2"/>
  <c r="AJ340" i="2"/>
  <c r="AK340" i="2" s="1"/>
  <c r="AM252" i="2"/>
  <c r="AJ252" i="2"/>
  <c r="AK252" i="2" s="1"/>
  <c r="AM367" i="2"/>
  <c r="AJ367" i="2"/>
  <c r="AK367" i="2" s="1"/>
  <c r="AM303" i="2"/>
  <c r="AJ303" i="2"/>
  <c r="AK303" i="2" s="1"/>
  <c r="AM258" i="2"/>
  <c r="AJ258" i="2"/>
  <c r="AK258" i="2" s="1"/>
  <c r="AM374" i="2"/>
  <c r="AJ374" i="2"/>
  <c r="AK374" i="2" s="1"/>
  <c r="AM224" i="2"/>
  <c r="AJ224" i="2"/>
  <c r="AK224" i="2" s="1"/>
  <c r="AM306" i="2"/>
  <c r="AJ306" i="2"/>
  <c r="AK306" i="2" s="1"/>
  <c r="AM245" i="2"/>
  <c r="AJ245" i="2"/>
  <c r="AK245" i="2" s="1"/>
  <c r="AM383" i="2"/>
  <c r="AJ383" i="2"/>
  <c r="AK383" i="2" s="1"/>
  <c r="AM366" i="2"/>
  <c r="AJ366" i="2"/>
  <c r="AK366" i="2" s="1"/>
  <c r="AM350" i="2"/>
  <c r="AJ350" i="2"/>
  <c r="AK350" i="2" s="1"/>
  <c r="AM325" i="2"/>
  <c r="AJ325" i="2"/>
  <c r="AK325" i="2" s="1"/>
  <c r="AM268" i="2"/>
  <c r="AJ268" i="2"/>
  <c r="AK268" i="2" s="1"/>
  <c r="AM363" i="2"/>
  <c r="AJ363" i="2"/>
  <c r="AK363" i="2" s="1"/>
  <c r="AM299" i="2"/>
  <c r="AJ299" i="2"/>
  <c r="AK299" i="2" s="1"/>
  <c r="AM332" i="2"/>
  <c r="AJ332" i="2"/>
  <c r="AK332" i="2" s="1"/>
  <c r="AM410" i="2"/>
  <c r="AJ410" i="2"/>
  <c r="AK410" i="2" s="1"/>
  <c r="AM346" i="2"/>
  <c r="AJ346" i="2"/>
  <c r="AK346" i="2" s="1"/>
  <c r="AM282" i="2"/>
  <c r="AJ282" i="2"/>
  <c r="AK282" i="2" s="1"/>
  <c r="AM222" i="2"/>
  <c r="AJ222" i="2"/>
  <c r="AK222" i="2" s="1"/>
  <c r="AM393" i="2"/>
  <c r="AJ393" i="2"/>
  <c r="AK393" i="2" s="1"/>
  <c r="AM329" i="2"/>
  <c r="AJ329" i="2"/>
  <c r="AK329" i="2" s="1"/>
  <c r="AM265" i="2"/>
  <c r="AJ265" i="2"/>
  <c r="AK265" i="2" s="1"/>
  <c r="AM400" i="2"/>
  <c r="AJ400" i="2"/>
  <c r="AK400" i="2" s="1"/>
  <c r="AM336" i="2"/>
  <c r="AJ336" i="2"/>
  <c r="AK336" i="2" s="1"/>
  <c r="AM272" i="2"/>
  <c r="AJ272" i="2"/>
  <c r="AK272" i="2" s="1"/>
  <c r="AM324" i="2"/>
  <c r="AJ324" i="2"/>
  <c r="AK324" i="2" s="1"/>
  <c r="AM244" i="2"/>
  <c r="AJ244" i="2"/>
  <c r="AK244" i="2" s="1"/>
  <c r="AM359" i="2"/>
  <c r="AJ359" i="2"/>
  <c r="AK359" i="2" s="1"/>
  <c r="AM295" i="2"/>
  <c r="AJ295" i="2"/>
  <c r="AK295" i="2" s="1"/>
  <c r="AM406" i="2"/>
  <c r="AJ406" i="2"/>
  <c r="AK406" i="2" s="1"/>
  <c r="AM342" i="2"/>
  <c r="AJ342" i="2"/>
  <c r="AK342" i="2" s="1"/>
  <c r="AM381" i="2"/>
  <c r="AJ381" i="2"/>
  <c r="AK381" i="2" s="1"/>
  <c r="AM317" i="2"/>
  <c r="AJ317" i="2"/>
  <c r="AK317" i="2" s="1"/>
  <c r="AM228" i="2"/>
  <c r="AJ228" i="2"/>
  <c r="AK228" i="2" s="1"/>
  <c r="AM240" i="2"/>
  <c r="AJ240" i="2"/>
  <c r="AK240" i="2" s="1"/>
  <c r="AM355" i="2"/>
  <c r="AJ355" i="2"/>
  <c r="AK355" i="2" s="1"/>
  <c r="AM291" i="2"/>
  <c r="AJ291" i="2"/>
  <c r="AK291" i="2" s="1"/>
  <c r="AM284" i="2"/>
  <c r="AJ284" i="2"/>
  <c r="AK284" i="2" s="1"/>
  <c r="AM402" i="2"/>
  <c r="AJ402" i="2"/>
  <c r="AK402" i="2" s="1"/>
  <c r="AM338" i="2"/>
  <c r="AJ338" i="2"/>
  <c r="AK338" i="2" s="1"/>
  <c r="AM274" i="2"/>
  <c r="AJ274" i="2"/>
  <c r="AK274" i="2" s="1"/>
  <c r="AM233" i="2"/>
  <c r="AJ233" i="2"/>
  <c r="AK233" i="2" s="1"/>
  <c r="AM385" i="2"/>
  <c r="AJ385" i="2"/>
  <c r="AK385" i="2" s="1"/>
  <c r="AM321" i="2"/>
  <c r="AJ321" i="2"/>
  <c r="AK321" i="2" s="1"/>
  <c r="AM221" i="2"/>
  <c r="AJ221" i="2"/>
  <c r="AK221" i="2" s="1"/>
  <c r="AM392" i="2"/>
  <c r="AJ392" i="2"/>
  <c r="AK392" i="2" s="1"/>
  <c r="AM328" i="2"/>
  <c r="AJ328" i="2"/>
  <c r="AK328" i="2" s="1"/>
  <c r="AM264" i="2"/>
  <c r="AJ264" i="2"/>
  <c r="AK264" i="2" s="1"/>
  <c r="AM316" i="2"/>
  <c r="AJ316" i="2"/>
  <c r="AK316" i="2" s="1"/>
  <c r="AM236" i="2"/>
  <c r="AJ236" i="2"/>
  <c r="AK236" i="2" s="1"/>
  <c r="AM351" i="2"/>
  <c r="AJ351" i="2"/>
  <c r="AK351" i="2" s="1"/>
  <c r="AM287" i="2"/>
  <c r="AJ287" i="2"/>
  <c r="AK287" i="2" s="1"/>
  <c r="AM326" i="2"/>
  <c r="AJ326" i="2"/>
  <c r="AK326" i="2" s="1"/>
  <c r="AM259" i="2"/>
  <c r="AJ259" i="2"/>
  <c r="AK259" i="2" s="1"/>
  <c r="AM310" i="2"/>
  <c r="AJ310" i="2"/>
  <c r="AK310" i="2" s="1"/>
  <c r="AM285" i="2"/>
  <c r="AJ285" i="2"/>
  <c r="AK285" i="2" s="1"/>
  <c r="AM249" i="2"/>
  <c r="AJ249" i="2"/>
  <c r="AK249" i="2" s="1"/>
  <c r="AM396" i="2"/>
  <c r="AJ396" i="2"/>
  <c r="AK396" i="2" s="1"/>
  <c r="AM353" i="2"/>
  <c r="AJ353" i="2"/>
  <c r="AK353" i="2" s="1"/>
  <c r="AM360" i="2"/>
  <c r="AJ360" i="2"/>
  <c r="AK360" i="2" s="1"/>
  <c r="AM278" i="2"/>
  <c r="AJ278" i="2"/>
  <c r="AK278" i="2" s="1"/>
  <c r="AM302" i="2"/>
  <c r="AJ302" i="2"/>
  <c r="AK302" i="2" s="1"/>
  <c r="AM277" i="2"/>
  <c r="AJ277" i="2"/>
  <c r="AK277" i="2" s="1"/>
  <c r="AM235" i="2"/>
  <c r="AJ235" i="2"/>
  <c r="AK235" i="2" s="1"/>
  <c r="AM286" i="2"/>
  <c r="AJ286" i="2"/>
  <c r="AK286" i="2" s="1"/>
  <c r="AM389" i="2"/>
  <c r="AJ389" i="2"/>
  <c r="AK389" i="2" s="1"/>
  <c r="AM248" i="2"/>
  <c r="AJ248" i="2"/>
  <c r="AK248" i="2" s="1"/>
  <c r="AM398" i="2"/>
  <c r="AJ398" i="2"/>
  <c r="AK398" i="2" s="1"/>
  <c r="AM334" i="2"/>
  <c r="AJ334" i="2"/>
  <c r="AK334" i="2" s="1"/>
  <c r="AM229" i="2"/>
  <c r="AJ229" i="2"/>
  <c r="AK229" i="2" s="1"/>
  <c r="AM373" i="2"/>
  <c r="AJ373" i="2"/>
  <c r="AK373" i="2" s="1"/>
  <c r="AM404" i="2"/>
  <c r="AJ404" i="2"/>
  <c r="AK404" i="2" s="1"/>
  <c r="AM411" i="2"/>
  <c r="AJ411" i="2"/>
  <c r="AK411" i="2" s="1"/>
  <c r="AM347" i="2"/>
  <c r="AJ347" i="2"/>
  <c r="AK347" i="2" s="1"/>
  <c r="AM283" i="2"/>
  <c r="AJ283" i="2"/>
  <c r="AK283" i="2" s="1"/>
  <c r="AM223" i="2"/>
  <c r="AJ223" i="2"/>
  <c r="AK223" i="2" s="1"/>
  <c r="AM394" i="2"/>
  <c r="AJ394" i="2"/>
  <c r="AK394" i="2" s="1"/>
  <c r="AM330" i="2"/>
  <c r="AJ330" i="2"/>
  <c r="AK330" i="2" s="1"/>
  <c r="AM266" i="2"/>
  <c r="AJ266" i="2"/>
  <c r="AK266" i="2" s="1"/>
  <c r="AM262" i="2"/>
  <c r="AJ262" i="2"/>
  <c r="AK262" i="2" s="1"/>
  <c r="AM377" i="2"/>
  <c r="AJ377" i="2"/>
  <c r="AK377" i="2" s="1"/>
  <c r="AM313" i="2"/>
  <c r="AJ313" i="2"/>
  <c r="AK313" i="2" s="1"/>
  <c r="AM232" i="2"/>
  <c r="AJ232" i="2"/>
  <c r="AK232" i="2" s="1"/>
  <c r="AM384" i="2"/>
  <c r="AJ384" i="2"/>
  <c r="AK384" i="2" s="1"/>
  <c r="AM320" i="2"/>
  <c r="AJ320" i="2"/>
  <c r="AK320" i="2" s="1"/>
  <c r="AM225" i="2"/>
  <c r="AJ225" i="2"/>
  <c r="AK225" i="2" s="1"/>
  <c r="AM308" i="2"/>
  <c r="AJ308" i="2"/>
  <c r="AK308" i="2" s="1"/>
  <c r="AM407" i="2"/>
  <c r="AJ407" i="2"/>
  <c r="AK407" i="2" s="1"/>
  <c r="AM343" i="2"/>
  <c r="AJ343" i="2"/>
  <c r="AK343" i="2" s="1"/>
  <c r="AM279" i="2"/>
  <c r="AJ279" i="2"/>
  <c r="AK279" i="2" s="1"/>
  <c r="AM312" i="2"/>
  <c r="AJ312" i="2"/>
  <c r="AK312" i="2" s="1"/>
  <c r="AM257" i="2"/>
  <c r="AJ257" i="2"/>
  <c r="AK257" i="2" s="1"/>
  <c r="AM292" i="2"/>
  <c r="AJ292" i="2"/>
  <c r="AK292" i="2" s="1"/>
  <c r="AM399" i="2"/>
  <c r="AJ399" i="2"/>
  <c r="AK399" i="2" s="1"/>
  <c r="AM335" i="2"/>
  <c r="AJ335" i="2"/>
  <c r="AK335" i="2" s="1"/>
  <c r="AM271" i="2"/>
  <c r="AJ271" i="2"/>
  <c r="AK271" i="2" s="1"/>
  <c r="AM216" i="2"/>
  <c r="AJ216" i="2"/>
  <c r="AK216" i="2" s="1"/>
  <c r="Z213" i="2"/>
  <c r="AA213" i="2" s="1"/>
  <c r="AB213" i="2" s="1"/>
  <c r="AI213" i="2"/>
  <c r="AJ213" i="2" s="1"/>
  <c r="AK213" i="2" s="1"/>
  <c r="AF214" i="2"/>
  <c r="AI215" i="2"/>
  <c r="AJ215" i="2" s="1"/>
  <c r="AK215" i="2" s="1"/>
  <c r="AF215" i="2"/>
  <c r="AG215" i="2" s="1"/>
  <c r="AH215" i="2" s="1"/>
  <c r="Z293" i="2"/>
  <c r="AF293" i="2"/>
  <c r="AL293" i="2" s="1"/>
  <c r="Z267" i="2"/>
  <c r="AE267" i="2" s="1"/>
  <c r="AF267" i="2"/>
  <c r="AL267" i="2" s="1"/>
  <c r="Z246" i="2"/>
  <c r="AF246" i="2"/>
  <c r="AL246" i="2" s="1"/>
  <c r="Z368" i="2"/>
  <c r="AF368" i="2"/>
  <c r="AL368" i="2" s="1"/>
  <c r="Z263" i="2"/>
  <c r="AF263" i="2"/>
  <c r="AL263" i="2" s="1"/>
  <c r="Z242" i="2"/>
  <c r="AE242" i="2" s="1"/>
  <c r="AF242" i="2"/>
  <c r="AL242" i="2" s="1"/>
  <c r="Z387" i="2"/>
  <c r="AF387" i="2"/>
  <c r="AL387" i="2" s="1"/>
  <c r="Z370" i="2"/>
  <c r="AF370" i="2"/>
  <c r="AL370" i="2" s="1"/>
  <c r="Z238" i="2"/>
  <c r="AF238" i="2"/>
  <c r="AL238" i="2" s="1"/>
  <c r="Z353" i="2"/>
  <c r="AF353" i="2"/>
  <c r="AL353" i="2" s="1"/>
  <c r="Z296" i="2"/>
  <c r="AF296" i="2"/>
  <c r="AL296" i="2" s="1"/>
  <c r="Z380" i="2"/>
  <c r="AF380" i="2"/>
  <c r="AL380" i="2" s="1"/>
  <c r="Z231" i="2"/>
  <c r="AF231" i="2"/>
  <c r="AL231" i="2" s="1"/>
  <c r="Z383" i="2"/>
  <c r="AF383" i="2"/>
  <c r="AL383" i="2" s="1"/>
  <c r="Z319" i="2"/>
  <c r="AF319" i="2"/>
  <c r="AL319" i="2" s="1"/>
  <c r="Z278" i="2"/>
  <c r="AF278" i="2"/>
  <c r="AL278" i="2" s="1"/>
  <c r="Z251" i="2"/>
  <c r="AF251" i="2"/>
  <c r="AL251" i="2" s="1"/>
  <c r="Z366" i="2"/>
  <c r="AF366" i="2"/>
  <c r="AL366" i="2" s="1"/>
  <c r="Z302" i="2"/>
  <c r="AF302" i="2"/>
  <c r="AL302" i="2" s="1"/>
  <c r="Z405" i="2"/>
  <c r="AF405" i="2"/>
  <c r="AL405" i="2" s="1"/>
  <c r="Z341" i="2"/>
  <c r="AF341" i="2"/>
  <c r="AL341" i="2" s="1"/>
  <c r="Z277" i="2"/>
  <c r="AF277" i="2"/>
  <c r="AL277" i="2" s="1"/>
  <c r="Z227" i="2"/>
  <c r="AF227" i="2"/>
  <c r="AL227" i="2" s="1"/>
  <c r="Z379" i="2"/>
  <c r="AF379" i="2"/>
  <c r="AL379" i="2" s="1"/>
  <c r="Z315" i="2"/>
  <c r="AF315" i="2"/>
  <c r="AL315" i="2" s="1"/>
  <c r="Z388" i="2"/>
  <c r="AF388" i="2"/>
  <c r="AL388" i="2" s="1"/>
  <c r="Z247" i="2"/>
  <c r="AF247" i="2"/>
  <c r="AL247" i="2" s="1"/>
  <c r="Z362" i="2"/>
  <c r="AF362" i="2"/>
  <c r="AL362" i="2" s="1"/>
  <c r="Z298" i="2"/>
  <c r="AF298" i="2"/>
  <c r="AL298" i="2" s="1"/>
  <c r="Z356" i="2"/>
  <c r="AF356" i="2"/>
  <c r="AL356" i="2" s="1"/>
  <c r="Z409" i="2"/>
  <c r="AF409" i="2"/>
  <c r="AL409" i="2" s="1"/>
  <c r="Z345" i="2"/>
  <c r="AF345" i="2"/>
  <c r="AL345" i="2" s="1"/>
  <c r="Z281" i="2"/>
  <c r="AF281" i="2"/>
  <c r="AL281" i="2" s="1"/>
  <c r="Z237" i="2"/>
  <c r="AF237" i="2"/>
  <c r="AL237" i="2" s="1"/>
  <c r="Z352" i="2"/>
  <c r="AF352" i="2"/>
  <c r="AL352" i="2" s="1"/>
  <c r="Z288" i="2"/>
  <c r="AF288" i="2"/>
  <c r="AL288" i="2" s="1"/>
  <c r="Z372" i="2"/>
  <c r="AF372" i="2"/>
  <c r="AL372" i="2" s="1"/>
  <c r="Z260" i="2"/>
  <c r="AF260" i="2"/>
  <c r="AL260" i="2" s="1"/>
  <c r="Z375" i="2"/>
  <c r="AF375" i="2"/>
  <c r="AL375" i="2" s="1"/>
  <c r="Z311" i="2"/>
  <c r="AF311" i="2"/>
  <c r="AL311" i="2" s="1"/>
  <c r="Z270" i="2"/>
  <c r="AF270" i="2"/>
  <c r="AL270" i="2" s="1"/>
  <c r="Z382" i="2"/>
  <c r="AF382" i="2"/>
  <c r="AL382" i="2" s="1"/>
  <c r="Z250" i="2"/>
  <c r="AF250" i="2"/>
  <c r="AL250" i="2" s="1"/>
  <c r="Z395" i="2"/>
  <c r="AF395" i="2"/>
  <c r="AL395" i="2" s="1"/>
  <c r="Z226" i="2"/>
  <c r="AF226" i="2"/>
  <c r="AL226" i="2" s="1"/>
  <c r="Z241" i="2"/>
  <c r="AF241" i="2"/>
  <c r="AL241" i="2" s="1"/>
  <c r="Z253" i="2"/>
  <c r="AF253" i="2"/>
  <c r="AL253" i="2" s="1"/>
  <c r="Z412" i="2"/>
  <c r="AF412" i="2"/>
  <c r="AL412" i="2" s="1"/>
  <c r="Z391" i="2"/>
  <c r="AF391" i="2"/>
  <c r="AL391" i="2" s="1"/>
  <c r="Z310" i="2"/>
  <c r="AF310" i="2"/>
  <c r="AL310" i="2" s="1"/>
  <c r="Z224" i="2"/>
  <c r="AF224" i="2"/>
  <c r="AL224" i="2" s="1"/>
  <c r="Z249" i="2"/>
  <c r="AF249" i="2"/>
  <c r="AL249" i="2" s="1"/>
  <c r="Z396" i="2"/>
  <c r="AF396" i="2"/>
  <c r="AL396" i="2" s="1"/>
  <c r="Z245" i="2"/>
  <c r="AF245" i="2"/>
  <c r="AL245" i="2" s="1"/>
  <c r="Z358" i="2"/>
  <c r="AF358" i="2"/>
  <c r="AL358" i="2" s="1"/>
  <c r="Z397" i="2"/>
  <c r="AF397" i="2"/>
  <c r="AL397" i="2" s="1"/>
  <c r="Z256" i="2"/>
  <c r="AF256" i="2"/>
  <c r="AL256" i="2" s="1"/>
  <c r="Z364" i="2"/>
  <c r="AF364" i="2"/>
  <c r="AL364" i="2" s="1"/>
  <c r="Z290" i="2"/>
  <c r="AF290" i="2"/>
  <c r="AL290" i="2" s="1"/>
  <c r="Z235" i="2"/>
  <c r="AF235" i="2"/>
  <c r="AL235" i="2" s="1"/>
  <c r="Z350" i="2"/>
  <c r="AF350" i="2"/>
  <c r="AL350" i="2" s="1"/>
  <c r="Z286" i="2"/>
  <c r="AF286" i="2"/>
  <c r="AL286" i="2" s="1"/>
  <c r="Z389" i="2"/>
  <c r="AF389" i="2"/>
  <c r="AL389" i="2" s="1"/>
  <c r="Z325" i="2"/>
  <c r="AF325" i="2"/>
  <c r="AL325" i="2" s="1"/>
  <c r="Z268" i="2"/>
  <c r="AF268" i="2"/>
  <c r="AL268" i="2" s="1"/>
  <c r="Z248" i="2"/>
  <c r="AF248" i="2"/>
  <c r="AL248" i="2" s="1"/>
  <c r="Z363" i="2"/>
  <c r="AF363" i="2"/>
  <c r="AL363" i="2" s="1"/>
  <c r="Z299" i="2"/>
  <c r="AF299" i="2"/>
  <c r="AL299" i="2" s="1"/>
  <c r="Z332" i="2"/>
  <c r="AF332" i="2"/>
  <c r="AL332" i="2" s="1"/>
  <c r="Z410" i="2"/>
  <c r="AF410" i="2"/>
  <c r="AL410" i="2" s="1"/>
  <c r="Z346" i="2"/>
  <c r="AF346" i="2"/>
  <c r="AL346" i="2" s="1"/>
  <c r="Z282" i="2"/>
  <c r="AF282" i="2"/>
  <c r="AL282" i="2" s="1"/>
  <c r="Z222" i="2"/>
  <c r="AF222" i="2"/>
  <c r="AL222" i="2" s="1"/>
  <c r="Z393" i="2"/>
  <c r="AF393" i="2"/>
  <c r="AL393" i="2" s="1"/>
  <c r="Z329" i="2"/>
  <c r="AF329" i="2"/>
  <c r="AL329" i="2" s="1"/>
  <c r="Z265" i="2"/>
  <c r="AF265" i="2"/>
  <c r="AL265" i="2" s="1"/>
  <c r="Z400" i="2"/>
  <c r="AF400" i="2"/>
  <c r="AL400" i="2" s="1"/>
  <c r="Z336" i="2"/>
  <c r="AF336" i="2"/>
  <c r="AL336" i="2" s="1"/>
  <c r="Z272" i="2"/>
  <c r="AF272" i="2"/>
  <c r="AL272" i="2" s="1"/>
  <c r="Z324" i="2"/>
  <c r="AF324" i="2"/>
  <c r="AL324" i="2" s="1"/>
  <c r="Z244" i="2"/>
  <c r="AF244" i="2"/>
  <c r="AL244" i="2" s="1"/>
  <c r="Z359" i="2"/>
  <c r="AF359" i="2"/>
  <c r="AL359" i="2" s="1"/>
  <c r="Z295" i="2"/>
  <c r="AF295" i="2"/>
  <c r="AL295" i="2" s="1"/>
  <c r="Z357" i="2"/>
  <c r="AF357" i="2"/>
  <c r="AL357" i="2" s="1"/>
  <c r="Z378" i="2"/>
  <c r="AF378" i="2"/>
  <c r="AL378" i="2" s="1"/>
  <c r="Z297" i="2"/>
  <c r="AF297" i="2"/>
  <c r="AL297" i="2" s="1"/>
  <c r="Z220" i="2"/>
  <c r="AF220" i="2"/>
  <c r="AL220" i="2" s="1"/>
  <c r="Z259" i="2"/>
  <c r="AF259" i="2"/>
  <c r="AL259" i="2" s="1"/>
  <c r="Z285" i="2"/>
  <c r="AF285" i="2"/>
  <c r="AL285" i="2" s="1"/>
  <c r="Z255" i="2"/>
  <c r="AF255" i="2"/>
  <c r="AL255" i="2" s="1"/>
  <c r="Z289" i="2"/>
  <c r="AF289" i="2"/>
  <c r="AL289" i="2" s="1"/>
  <c r="Z333" i="2"/>
  <c r="AF333" i="2"/>
  <c r="AL333" i="2" s="1"/>
  <c r="Z307" i="2"/>
  <c r="AF307" i="2"/>
  <c r="AL307" i="2" s="1"/>
  <c r="Z354" i="2"/>
  <c r="AF354" i="2"/>
  <c r="AL354" i="2" s="1"/>
  <c r="Z401" i="2"/>
  <c r="AF401" i="2"/>
  <c r="AL401" i="2" s="1"/>
  <c r="Z408" i="2"/>
  <c r="AF408" i="2"/>
  <c r="AL408" i="2" s="1"/>
  <c r="Z367" i="2"/>
  <c r="AF367" i="2"/>
  <c r="AL367" i="2" s="1"/>
  <c r="Z218" i="2"/>
  <c r="Z228" i="2"/>
  <c r="AF228" i="2"/>
  <c r="AL228" i="2" s="1"/>
  <c r="Z355" i="2"/>
  <c r="AF355" i="2"/>
  <c r="AL355" i="2" s="1"/>
  <c r="Z291" i="2"/>
  <c r="AF291" i="2"/>
  <c r="AL291" i="2" s="1"/>
  <c r="Z284" i="2"/>
  <c r="AF284" i="2"/>
  <c r="AL284" i="2" s="1"/>
  <c r="Z402" i="2"/>
  <c r="AF402" i="2"/>
  <c r="AL402" i="2" s="1"/>
  <c r="Z338" i="2"/>
  <c r="AF338" i="2"/>
  <c r="AL338" i="2" s="1"/>
  <c r="Z274" i="2"/>
  <c r="AF274" i="2"/>
  <c r="AL274" i="2" s="1"/>
  <c r="Z233" i="2"/>
  <c r="AF233" i="2"/>
  <c r="AL233" i="2" s="1"/>
  <c r="Z385" i="2"/>
  <c r="AF385" i="2"/>
  <c r="AL385" i="2" s="1"/>
  <c r="Z321" i="2"/>
  <c r="AF321" i="2"/>
  <c r="AL321" i="2" s="1"/>
  <c r="Z221" i="2"/>
  <c r="AF221" i="2"/>
  <c r="AL221" i="2" s="1"/>
  <c r="Z392" i="2"/>
  <c r="AF392" i="2"/>
  <c r="AL392" i="2" s="1"/>
  <c r="Z328" i="2"/>
  <c r="AF328" i="2"/>
  <c r="AL328" i="2" s="1"/>
  <c r="Z264" i="2"/>
  <c r="AF264" i="2"/>
  <c r="AL264" i="2" s="1"/>
  <c r="Z316" i="2"/>
  <c r="AF316" i="2"/>
  <c r="AL316" i="2" s="1"/>
  <c r="Z236" i="2"/>
  <c r="AF236" i="2"/>
  <c r="AL236" i="2" s="1"/>
  <c r="Z351" i="2"/>
  <c r="AF351" i="2"/>
  <c r="AL351" i="2" s="1"/>
  <c r="Z287" i="2"/>
  <c r="AF287" i="2"/>
  <c r="AL287" i="2" s="1"/>
  <c r="Z229" i="2"/>
  <c r="AF229" i="2"/>
  <c r="AL229" i="2" s="1"/>
  <c r="Z404" i="2"/>
  <c r="AF404" i="2"/>
  <c r="AL404" i="2" s="1"/>
  <c r="Z347" i="2"/>
  <c r="AF347" i="2"/>
  <c r="AL347" i="2" s="1"/>
  <c r="Z283" i="2"/>
  <c r="AF283" i="2"/>
  <c r="AL283" i="2" s="1"/>
  <c r="Z223" i="2"/>
  <c r="AF223" i="2"/>
  <c r="AL223" i="2" s="1"/>
  <c r="Z394" i="2"/>
  <c r="AF394" i="2"/>
  <c r="AL394" i="2" s="1"/>
  <c r="Z330" i="2"/>
  <c r="AF330" i="2"/>
  <c r="AL330" i="2" s="1"/>
  <c r="Z266" i="2"/>
  <c r="AF266" i="2"/>
  <c r="AL266" i="2" s="1"/>
  <c r="Z262" i="2"/>
  <c r="AF262" i="2"/>
  <c r="AL262" i="2" s="1"/>
  <c r="Z377" i="2"/>
  <c r="AF377" i="2"/>
  <c r="AL377" i="2" s="1"/>
  <c r="Z313" i="2"/>
  <c r="AF313" i="2"/>
  <c r="AL313" i="2" s="1"/>
  <c r="Z232" i="2"/>
  <c r="AF232" i="2"/>
  <c r="AL232" i="2" s="1"/>
  <c r="Z384" i="2"/>
  <c r="AF384" i="2"/>
  <c r="AL384" i="2" s="1"/>
  <c r="Z320" i="2"/>
  <c r="AF320" i="2"/>
  <c r="AL320" i="2" s="1"/>
  <c r="Z225" i="2"/>
  <c r="AF225" i="2"/>
  <c r="AL225" i="2" s="1"/>
  <c r="Z308" i="2"/>
  <c r="AF308" i="2"/>
  <c r="AL308" i="2" s="1"/>
  <c r="Z407" i="2"/>
  <c r="AF407" i="2"/>
  <c r="AL407" i="2" s="1"/>
  <c r="Z343" i="2"/>
  <c r="AF343" i="2"/>
  <c r="AL343" i="2" s="1"/>
  <c r="Z279" i="2"/>
  <c r="AF279" i="2"/>
  <c r="AL279" i="2" s="1"/>
  <c r="Z215" i="2"/>
  <c r="Z230" i="2"/>
  <c r="AF230" i="2"/>
  <c r="AL230" i="2" s="1"/>
  <c r="Z318" i="2"/>
  <c r="AF318" i="2"/>
  <c r="AL318" i="2" s="1"/>
  <c r="Z276" i="2"/>
  <c r="AF276" i="2"/>
  <c r="AL276" i="2" s="1"/>
  <c r="Z331" i="2"/>
  <c r="AF331" i="2"/>
  <c r="AL331" i="2" s="1"/>
  <c r="Z314" i="2"/>
  <c r="AF314" i="2"/>
  <c r="AL314" i="2" s="1"/>
  <c r="Z361" i="2"/>
  <c r="AF361" i="2"/>
  <c r="AL361" i="2" s="1"/>
  <c r="Z304" i="2"/>
  <c r="AF304" i="2"/>
  <c r="AL304" i="2" s="1"/>
  <c r="Z327" i="2"/>
  <c r="AF327" i="2"/>
  <c r="AL327" i="2" s="1"/>
  <c r="Z374" i="2"/>
  <c r="AF374" i="2"/>
  <c r="AL374" i="2" s="1"/>
  <c r="Z349" i="2"/>
  <c r="AF349" i="2"/>
  <c r="AL349" i="2" s="1"/>
  <c r="Z323" i="2"/>
  <c r="AF323" i="2"/>
  <c r="AL323" i="2" s="1"/>
  <c r="Z306" i="2"/>
  <c r="AF306" i="2"/>
  <c r="AL306" i="2" s="1"/>
  <c r="Z360" i="2"/>
  <c r="AF360" i="2"/>
  <c r="AL360" i="2" s="1"/>
  <c r="Z243" i="2"/>
  <c r="AF243" i="2"/>
  <c r="AL243" i="2" s="1"/>
  <c r="Z294" i="2"/>
  <c r="AF294" i="2"/>
  <c r="AL294" i="2" s="1"/>
  <c r="Z269" i="2"/>
  <c r="AF269" i="2"/>
  <c r="AL269" i="2" s="1"/>
  <c r="Z371" i="2"/>
  <c r="AF371" i="2"/>
  <c r="AL371" i="2" s="1"/>
  <c r="Z239" i="2"/>
  <c r="AF239" i="2"/>
  <c r="AL239" i="2" s="1"/>
  <c r="Z300" i="2"/>
  <c r="AF300" i="2"/>
  <c r="AL300" i="2" s="1"/>
  <c r="Z337" i="2"/>
  <c r="AF337" i="2"/>
  <c r="AL337" i="2" s="1"/>
  <c r="Z273" i="2"/>
  <c r="AF273" i="2"/>
  <c r="AL273" i="2" s="1"/>
  <c r="Z344" i="2"/>
  <c r="AF344" i="2"/>
  <c r="AL344" i="2" s="1"/>
  <c r="Z280" i="2"/>
  <c r="AF280" i="2"/>
  <c r="AL280" i="2" s="1"/>
  <c r="Z340" i="2"/>
  <c r="AF340" i="2"/>
  <c r="AL340" i="2" s="1"/>
  <c r="Z252" i="2"/>
  <c r="AF252" i="2"/>
  <c r="AL252" i="2" s="1"/>
  <c r="Z303" i="2"/>
  <c r="AF303" i="2"/>
  <c r="AL303" i="2" s="1"/>
  <c r="Z406" i="2"/>
  <c r="AF406" i="2"/>
  <c r="AL406" i="2" s="1"/>
  <c r="Z342" i="2"/>
  <c r="AF342" i="2"/>
  <c r="AL342" i="2" s="1"/>
  <c r="Z381" i="2"/>
  <c r="AF381" i="2"/>
  <c r="AL381" i="2" s="1"/>
  <c r="Z317" i="2"/>
  <c r="AF317" i="2"/>
  <c r="AL317" i="2" s="1"/>
  <c r="Z240" i="2"/>
  <c r="AF240" i="2"/>
  <c r="AL240" i="2" s="1"/>
  <c r="Z398" i="2"/>
  <c r="AF398" i="2"/>
  <c r="AL398" i="2" s="1"/>
  <c r="Z334" i="2"/>
  <c r="AF334" i="2"/>
  <c r="AL334" i="2" s="1"/>
  <c r="Z373" i="2"/>
  <c r="AF373" i="2"/>
  <c r="AL373" i="2" s="1"/>
  <c r="Z411" i="2"/>
  <c r="AF411" i="2"/>
  <c r="AL411" i="2" s="1"/>
  <c r="Z219" i="2"/>
  <c r="AF219" i="2"/>
  <c r="AL219" i="2" s="1"/>
  <c r="Z390" i="2"/>
  <c r="AF390" i="2"/>
  <c r="AL390" i="2" s="1"/>
  <c r="Z326" i="2"/>
  <c r="AF326" i="2"/>
  <c r="AL326" i="2" s="1"/>
  <c r="Z258" i="2"/>
  <c r="AF258" i="2"/>
  <c r="AL258" i="2" s="1"/>
  <c r="Z365" i="2"/>
  <c r="AF365" i="2"/>
  <c r="AL365" i="2" s="1"/>
  <c r="Z301" i="2"/>
  <c r="AF301" i="2"/>
  <c r="AL301" i="2" s="1"/>
  <c r="Z348" i="2"/>
  <c r="AF348" i="2"/>
  <c r="AL348" i="2" s="1"/>
  <c r="Z403" i="2"/>
  <c r="AF403" i="2"/>
  <c r="AL403" i="2" s="1"/>
  <c r="Z339" i="2"/>
  <c r="AF339" i="2"/>
  <c r="AL339" i="2" s="1"/>
  <c r="Z275" i="2"/>
  <c r="AF275" i="2"/>
  <c r="AL275" i="2" s="1"/>
  <c r="Z234" i="2"/>
  <c r="AF234" i="2"/>
  <c r="AL234" i="2" s="1"/>
  <c r="Z386" i="2"/>
  <c r="AF386" i="2"/>
  <c r="AL386" i="2" s="1"/>
  <c r="Z322" i="2"/>
  <c r="AF322" i="2"/>
  <c r="AL322" i="2" s="1"/>
  <c r="Z217" i="2"/>
  <c r="AF217" i="2"/>
  <c r="AL217" i="2" s="1"/>
  <c r="Z254" i="2"/>
  <c r="AF254" i="2"/>
  <c r="AL254" i="2" s="1"/>
  <c r="Z369" i="2"/>
  <c r="AF369" i="2"/>
  <c r="AL369" i="2" s="1"/>
  <c r="Z305" i="2"/>
  <c r="AF305" i="2"/>
  <c r="AL305" i="2" s="1"/>
  <c r="Z261" i="2"/>
  <c r="AF261" i="2"/>
  <c r="AL261" i="2" s="1"/>
  <c r="Z376" i="2"/>
  <c r="AF376" i="2"/>
  <c r="AL376" i="2" s="1"/>
  <c r="Z312" i="2"/>
  <c r="AF312" i="2"/>
  <c r="AL312" i="2" s="1"/>
  <c r="Z257" i="2"/>
  <c r="AF257" i="2"/>
  <c r="AL257" i="2" s="1"/>
  <c r="Z292" i="2"/>
  <c r="AF292" i="2"/>
  <c r="AL292" i="2" s="1"/>
  <c r="Z399" i="2"/>
  <c r="AF399" i="2"/>
  <c r="AL399" i="2" s="1"/>
  <c r="Z335" i="2"/>
  <c r="AF335" i="2"/>
  <c r="AL335" i="2" s="1"/>
  <c r="Z271" i="2"/>
  <c r="AF271" i="2"/>
  <c r="AL271" i="2" s="1"/>
  <c r="Z216" i="2"/>
  <c r="AF216" i="2"/>
  <c r="AL216" i="2" s="1"/>
  <c r="AJ218" i="2" l="1"/>
  <c r="AK218" i="2" s="1"/>
  <c r="AJ214" i="2"/>
  <c r="AK214" i="2" s="1"/>
  <c r="AC309" i="2"/>
  <c r="AD309" i="2" s="1"/>
  <c r="AE309" i="2"/>
  <c r="AA309" i="2"/>
  <c r="AB309" i="2" s="1"/>
  <c r="AM309" i="2"/>
  <c r="AJ309" i="2"/>
  <c r="AK309" i="2" s="1"/>
  <c r="AL309" i="2"/>
  <c r="AG309" i="2"/>
  <c r="AH309" i="2" s="1"/>
  <c r="J50" i="2"/>
  <c r="H50" i="2"/>
  <c r="P50" i="2"/>
  <c r="AE257" i="2"/>
  <c r="AE374" i="2"/>
  <c r="AC367" i="2"/>
  <c r="AD367" i="2" s="1"/>
  <c r="AA215" i="2"/>
  <c r="AB215" i="2" s="1"/>
  <c r="AE283" i="2"/>
  <c r="AC222" i="2"/>
  <c r="AD222" i="2" s="1"/>
  <c r="AA256" i="2"/>
  <c r="AB256" i="2" s="1"/>
  <c r="AC226" i="2"/>
  <c r="AD226" i="2" s="1"/>
  <c r="AA298" i="2"/>
  <c r="AB298" i="2" s="1"/>
  <c r="AA231" i="2"/>
  <c r="AB231" i="2" s="1"/>
  <c r="AC293" i="2"/>
  <c r="AD293" i="2" s="1"/>
  <c r="AC305" i="2"/>
  <c r="AD305" i="2" s="1"/>
  <c r="AA219" i="2"/>
  <c r="AB219" i="2" s="1"/>
  <c r="AE371" i="2"/>
  <c r="AA230" i="2"/>
  <c r="AB230" i="2" s="1"/>
  <c r="AB214" i="2"/>
  <c r="AC291" i="2"/>
  <c r="AD291" i="2" s="1"/>
  <c r="AA308" i="2"/>
  <c r="AB308" i="2" s="1"/>
  <c r="AC232" i="2"/>
  <c r="AD232" i="2" s="1"/>
  <c r="AA266" i="2"/>
  <c r="AB266" i="2" s="1"/>
  <c r="AC244" i="2"/>
  <c r="AD244" i="2" s="1"/>
  <c r="AC400" i="2"/>
  <c r="AD400" i="2" s="1"/>
  <c r="AE332" i="2"/>
  <c r="AC268" i="2"/>
  <c r="AD268" i="2" s="1"/>
  <c r="AE350" i="2"/>
  <c r="AE396" i="2"/>
  <c r="AE391" i="2"/>
  <c r="AE270" i="2"/>
  <c r="AE372" i="2"/>
  <c r="AE281" i="2"/>
  <c r="AA315" i="2"/>
  <c r="AB315" i="2" s="1"/>
  <c r="AE341" i="2"/>
  <c r="AC251" i="2"/>
  <c r="AD251" i="2" s="1"/>
  <c r="AA238" i="2"/>
  <c r="AB238" i="2" s="1"/>
  <c r="AA263" i="2"/>
  <c r="AB263" i="2" s="1"/>
  <c r="AC335" i="2"/>
  <c r="AD335" i="2" s="1"/>
  <c r="AA312" i="2"/>
  <c r="AB312" i="2" s="1"/>
  <c r="AE369" i="2"/>
  <c r="AA386" i="2"/>
  <c r="AB386" i="2" s="1"/>
  <c r="AC403" i="2"/>
  <c r="AD403" i="2" s="1"/>
  <c r="AA258" i="2"/>
  <c r="AB258" i="2" s="1"/>
  <c r="AA411" i="2"/>
  <c r="AB411" i="2" s="1"/>
  <c r="AC398" i="2"/>
  <c r="AD398" i="2" s="1"/>
  <c r="AA342" i="2"/>
  <c r="AB342" i="2" s="1"/>
  <c r="AC340" i="2"/>
  <c r="AD340" i="2" s="1"/>
  <c r="AC337" i="2"/>
  <c r="AD337" i="2" s="1"/>
  <c r="AA269" i="2"/>
  <c r="AB269" i="2" s="1"/>
  <c r="AC306" i="2"/>
  <c r="AD306" i="2" s="1"/>
  <c r="AC327" i="2"/>
  <c r="AD327" i="2" s="1"/>
  <c r="AC331" i="2"/>
  <c r="AD331" i="2" s="1"/>
  <c r="AE287" i="2"/>
  <c r="AC264" i="2"/>
  <c r="AD264" i="2" s="1"/>
  <c r="AE321" i="2"/>
  <c r="AC338" i="2"/>
  <c r="AD338" i="2" s="1"/>
  <c r="AC355" i="2"/>
  <c r="AD355" i="2" s="1"/>
  <c r="AA408" i="2"/>
  <c r="AB408" i="2" s="1"/>
  <c r="AA333" i="2"/>
  <c r="AB333" i="2" s="1"/>
  <c r="AC259" i="2"/>
  <c r="AD259" i="2" s="1"/>
  <c r="AC357" i="2"/>
  <c r="AD357" i="2" s="1"/>
  <c r="AA381" i="2"/>
  <c r="AB381" i="2" s="1"/>
  <c r="AC307" i="2"/>
  <c r="AD307" i="2" s="1"/>
  <c r="AE313" i="2"/>
  <c r="AA265" i="2"/>
  <c r="AB265" i="2" s="1"/>
  <c r="AC235" i="2"/>
  <c r="AD235" i="2" s="1"/>
  <c r="AA395" i="2"/>
  <c r="AB395" i="2" s="1"/>
  <c r="AA379" i="2"/>
  <c r="AB379" i="2" s="1"/>
  <c r="AA376" i="2"/>
  <c r="AB376" i="2" s="1"/>
  <c r="AC254" i="2"/>
  <c r="AD254" i="2" s="1"/>
  <c r="AE234" i="2"/>
  <c r="AC348" i="2"/>
  <c r="AD348" i="2" s="1"/>
  <c r="AA326" i="2"/>
  <c r="AB326" i="2" s="1"/>
  <c r="AC240" i="2"/>
  <c r="AD240" i="2" s="1"/>
  <c r="AA406" i="2"/>
  <c r="AB406" i="2" s="1"/>
  <c r="AC280" i="2"/>
  <c r="AD280" i="2" s="1"/>
  <c r="AC300" i="2"/>
  <c r="AD300" i="2" s="1"/>
  <c r="AC294" i="2"/>
  <c r="AD294" i="2" s="1"/>
  <c r="AA323" i="2"/>
  <c r="AB323" i="2" s="1"/>
  <c r="AA304" i="2"/>
  <c r="AB304" i="2" s="1"/>
  <c r="AA276" i="2"/>
  <c r="AB276" i="2" s="1"/>
  <c r="AE351" i="2"/>
  <c r="AC328" i="2"/>
  <c r="AD328" i="2" s="1"/>
  <c r="AC385" i="2"/>
  <c r="AD385" i="2" s="1"/>
  <c r="AC402" i="2"/>
  <c r="AD402" i="2" s="1"/>
  <c r="AE228" i="2"/>
  <c r="AA401" i="2"/>
  <c r="AB401" i="2" s="1"/>
  <c r="AA289" i="2"/>
  <c r="AB289" i="2" s="1"/>
  <c r="AA220" i="2"/>
  <c r="AB220" i="2" s="1"/>
  <c r="AC339" i="2"/>
  <c r="AD339" i="2" s="1"/>
  <c r="AA252" i="2"/>
  <c r="AB252" i="2" s="1"/>
  <c r="AC316" i="2"/>
  <c r="AD316" i="2" s="1"/>
  <c r="AC285" i="2"/>
  <c r="AD285" i="2" s="1"/>
  <c r="AA279" i="2"/>
  <c r="AB279" i="2" s="1"/>
  <c r="AA330" i="2"/>
  <c r="AB330" i="2" s="1"/>
  <c r="AA324" i="2"/>
  <c r="AB324" i="2" s="1"/>
  <c r="AA299" i="2"/>
  <c r="AB299" i="2" s="1"/>
  <c r="AC249" i="2"/>
  <c r="AD249" i="2" s="1"/>
  <c r="AE311" i="2"/>
  <c r="AE345" i="2"/>
  <c r="AE405" i="2"/>
  <c r="AA380" i="2"/>
  <c r="AB380" i="2" s="1"/>
  <c r="AA370" i="2"/>
  <c r="AB370" i="2" s="1"/>
  <c r="AC368" i="2"/>
  <c r="AD368" i="2" s="1"/>
  <c r="AE343" i="2"/>
  <c r="AE377" i="2"/>
  <c r="AA272" i="2"/>
  <c r="AB272" i="2" s="1"/>
  <c r="AE363" i="2"/>
  <c r="AE290" i="2"/>
  <c r="AA358" i="2"/>
  <c r="AB358" i="2" s="1"/>
  <c r="AE253" i="2"/>
  <c r="AA250" i="2"/>
  <c r="AB250" i="2" s="1"/>
  <c r="AE352" i="2"/>
  <c r="AC409" i="2"/>
  <c r="AD409" i="2" s="1"/>
  <c r="AA247" i="2"/>
  <c r="AB247" i="2" s="1"/>
  <c r="AA227" i="2"/>
  <c r="AB227" i="2" s="1"/>
  <c r="AA302" i="2"/>
  <c r="AB302" i="2" s="1"/>
  <c r="AA319" i="2"/>
  <c r="AB319" i="2" s="1"/>
  <c r="AA296" i="2"/>
  <c r="AB296" i="2" s="1"/>
  <c r="AA387" i="2"/>
  <c r="AB387" i="2" s="1"/>
  <c r="AC246" i="2"/>
  <c r="AD246" i="2" s="1"/>
  <c r="AC271" i="2"/>
  <c r="AD271" i="2" s="1"/>
  <c r="AC365" i="2"/>
  <c r="AD365" i="2" s="1"/>
  <c r="AE273" i="2"/>
  <c r="AA314" i="2"/>
  <c r="AB314" i="2" s="1"/>
  <c r="AC274" i="2"/>
  <c r="AD274" i="2" s="1"/>
  <c r="AA225" i="2"/>
  <c r="AB225" i="2" s="1"/>
  <c r="AA282" i="2"/>
  <c r="AB282" i="2" s="1"/>
  <c r="AA325" i="2"/>
  <c r="AB325" i="2" s="1"/>
  <c r="AC412" i="2"/>
  <c r="AD412" i="2" s="1"/>
  <c r="AA288" i="2"/>
  <c r="AB288" i="2" s="1"/>
  <c r="AC362" i="2"/>
  <c r="AD362" i="2" s="1"/>
  <c r="AA278" i="2"/>
  <c r="AB278" i="2" s="1"/>
  <c r="AC399" i="2"/>
  <c r="AD399" i="2" s="1"/>
  <c r="AA320" i="2"/>
  <c r="AB320" i="2" s="1"/>
  <c r="AA394" i="2"/>
  <c r="AB394" i="2" s="1"/>
  <c r="AA404" i="2"/>
  <c r="AB404" i="2" s="1"/>
  <c r="AE295" i="2"/>
  <c r="AE329" i="2"/>
  <c r="AC346" i="2"/>
  <c r="AD346" i="2" s="1"/>
  <c r="AE389" i="2"/>
  <c r="AE224" i="2"/>
  <c r="AA375" i="2"/>
  <c r="AB375" i="2" s="1"/>
  <c r="AE292" i="2"/>
  <c r="AA261" i="2"/>
  <c r="AB261" i="2" s="1"/>
  <c r="AE217" i="2"/>
  <c r="AC275" i="2"/>
  <c r="AD275" i="2" s="1"/>
  <c r="AA301" i="2"/>
  <c r="AB301" i="2" s="1"/>
  <c r="AE390" i="2"/>
  <c r="AE373" i="2"/>
  <c r="AA317" i="2"/>
  <c r="AB317" i="2" s="1"/>
  <c r="AE303" i="2"/>
  <c r="AA344" i="2"/>
  <c r="AB344" i="2" s="1"/>
  <c r="AA239" i="2"/>
  <c r="AB239" i="2" s="1"/>
  <c r="AE243" i="2"/>
  <c r="AA349" i="2"/>
  <c r="AB349" i="2" s="1"/>
  <c r="AE361" i="2"/>
  <c r="AA318" i="2"/>
  <c r="AB318" i="2" s="1"/>
  <c r="AE236" i="2"/>
  <c r="AA392" i="2"/>
  <c r="AB392" i="2" s="1"/>
  <c r="AA233" i="2"/>
  <c r="AB233" i="2" s="1"/>
  <c r="AA284" i="2"/>
  <c r="AB284" i="2" s="1"/>
  <c r="AC218" i="2"/>
  <c r="AD218" i="2" s="1"/>
  <c r="AC354" i="2"/>
  <c r="AD354" i="2" s="1"/>
  <c r="AE255" i="2"/>
  <c r="AA297" i="2"/>
  <c r="AB297" i="2" s="1"/>
  <c r="AC213" i="2"/>
  <c r="AD213" i="2" s="1"/>
  <c r="AE322" i="2"/>
  <c r="AA334" i="2"/>
  <c r="AB334" i="2" s="1"/>
  <c r="AE360" i="2"/>
  <c r="AE221" i="2"/>
  <c r="AE378" i="2"/>
  <c r="AA347" i="2"/>
  <c r="AB347" i="2" s="1"/>
  <c r="AC397" i="2"/>
  <c r="AD397" i="2" s="1"/>
  <c r="AA407" i="2"/>
  <c r="AB407" i="2" s="1"/>
  <c r="AA384" i="2"/>
  <c r="AB384" i="2" s="1"/>
  <c r="AA262" i="2"/>
  <c r="AB262" i="2" s="1"/>
  <c r="AA223" i="2"/>
  <c r="AB223" i="2" s="1"/>
  <c r="AA229" i="2"/>
  <c r="AB229" i="2" s="1"/>
  <c r="AC359" i="2"/>
  <c r="AD359" i="2" s="1"/>
  <c r="AC336" i="2"/>
  <c r="AD336" i="2" s="1"/>
  <c r="AC393" i="2"/>
  <c r="AD393" i="2" s="1"/>
  <c r="AC410" i="2"/>
  <c r="AD410" i="2" s="1"/>
  <c r="AC248" i="2"/>
  <c r="AD248" i="2" s="1"/>
  <c r="AC286" i="2"/>
  <c r="AD286" i="2" s="1"/>
  <c r="AA364" i="2"/>
  <c r="AB364" i="2" s="1"/>
  <c r="AC245" i="2"/>
  <c r="AD245" i="2" s="1"/>
  <c r="AA310" i="2"/>
  <c r="AB310" i="2" s="1"/>
  <c r="AC241" i="2"/>
  <c r="AD241" i="2" s="1"/>
  <c r="AC382" i="2"/>
  <c r="AD382" i="2" s="1"/>
  <c r="AC260" i="2"/>
  <c r="AD260" i="2" s="1"/>
  <c r="AC237" i="2"/>
  <c r="AD237" i="2" s="1"/>
  <c r="AC356" i="2"/>
  <c r="AD356" i="2" s="1"/>
  <c r="AC388" i="2"/>
  <c r="AD388" i="2" s="1"/>
  <c r="AA277" i="2"/>
  <c r="AB277" i="2" s="1"/>
  <c r="AE366" i="2"/>
  <c r="AA383" i="2"/>
  <c r="AB383" i="2" s="1"/>
  <c r="AC353" i="2"/>
  <c r="AD353" i="2" s="1"/>
  <c r="AC242" i="2"/>
  <c r="AD242" i="2" s="1"/>
  <c r="AC267" i="2"/>
  <c r="AD267" i="2" s="1"/>
  <c r="AL214" i="2"/>
  <c r="AG214" i="2"/>
  <c r="AH214" i="2" s="1"/>
  <c r="AM215" i="2"/>
  <c r="AE293" i="2"/>
  <c r="AA259" i="2"/>
  <c r="AB259" i="2" s="1"/>
  <c r="AA293" i="2"/>
  <c r="AB293" i="2" s="1"/>
  <c r="AL215" i="2"/>
  <c r="AC332" i="2"/>
  <c r="AD332" i="2" s="1"/>
  <c r="AC266" i="2"/>
  <c r="AD266" i="2" s="1"/>
  <c r="AE359" i="2"/>
  <c r="AE383" i="2"/>
  <c r="AA291" i="2"/>
  <c r="AB291" i="2" s="1"/>
  <c r="AC214" i="2"/>
  <c r="AD214" i="2" s="1"/>
  <c r="AE214" i="2"/>
  <c r="AC277" i="2"/>
  <c r="AD277" i="2" s="1"/>
  <c r="AC341" i="2"/>
  <c r="AD341" i="2" s="1"/>
  <c r="AE316" i="2"/>
  <c r="AE222" i="2"/>
  <c r="AE291" i="2"/>
  <c r="AA336" i="2"/>
  <c r="AB336" i="2" s="1"/>
  <c r="AE356" i="2"/>
  <c r="AA260" i="2"/>
  <c r="AB260" i="2" s="1"/>
  <c r="AE353" i="2"/>
  <c r="AA267" i="2"/>
  <c r="AB267" i="2" s="1"/>
  <c r="AC231" i="2"/>
  <c r="AD231" i="2" s="1"/>
  <c r="AE323" i="2"/>
  <c r="AE308" i="2"/>
  <c r="AE342" i="2"/>
  <c r="AE266" i="2"/>
  <c r="AE364" i="2"/>
  <c r="AE277" i="2"/>
  <c r="AC221" i="2"/>
  <c r="AD221" i="2" s="1"/>
  <c r="AA367" i="2"/>
  <c r="AB367" i="2" s="1"/>
  <c r="AE237" i="2"/>
  <c r="AE403" i="2"/>
  <c r="AC215" i="2"/>
  <c r="AD215" i="2" s="1"/>
  <c r="AA270" i="2"/>
  <c r="AB270" i="2" s="1"/>
  <c r="AE333" i="2"/>
  <c r="AC283" i="2"/>
  <c r="AD283" i="2" s="1"/>
  <c r="AC366" i="2"/>
  <c r="AD366" i="2" s="1"/>
  <c r="AA353" i="2"/>
  <c r="AB353" i="2" s="1"/>
  <c r="AA327" i="2"/>
  <c r="AB327" i="2" s="1"/>
  <c r="AE256" i="2"/>
  <c r="AA321" i="2"/>
  <c r="AB321" i="2" s="1"/>
  <c r="AA341" i="2"/>
  <c r="AB341" i="2" s="1"/>
  <c r="AA268" i="2"/>
  <c r="AB268" i="2" s="1"/>
  <c r="AE298" i="2"/>
  <c r="AC376" i="2"/>
  <c r="AD376" i="2" s="1"/>
  <c r="AC347" i="2"/>
  <c r="AD347" i="2" s="1"/>
  <c r="AA226" i="2"/>
  <c r="AB226" i="2" s="1"/>
  <c r="AE367" i="2"/>
  <c r="AE315" i="2"/>
  <c r="AE251" i="2"/>
  <c r="AE335" i="2"/>
  <c r="AA254" i="2"/>
  <c r="AB254" i="2" s="1"/>
  <c r="AC350" i="2"/>
  <c r="AD350" i="2" s="1"/>
  <c r="AC406" i="2"/>
  <c r="AD406" i="2" s="1"/>
  <c r="AC263" i="2"/>
  <c r="AD263" i="2" s="1"/>
  <c r="AA251" i="2"/>
  <c r="AB251" i="2" s="1"/>
  <c r="AC383" i="2"/>
  <c r="AD383" i="2" s="1"/>
  <c r="AA234" i="2"/>
  <c r="AB234" i="2" s="1"/>
  <c r="AC372" i="2"/>
  <c r="AD372" i="2" s="1"/>
  <c r="AA359" i="2"/>
  <c r="AB359" i="2" s="1"/>
  <c r="AC364" i="2"/>
  <c r="AD364" i="2" s="1"/>
  <c r="AC304" i="2"/>
  <c r="AD304" i="2" s="1"/>
  <c r="AE355" i="2"/>
  <c r="AE263" i="2"/>
  <c r="AC279" i="2"/>
  <c r="AD279" i="2" s="1"/>
  <c r="AC238" i="2"/>
  <c r="AD238" i="2" s="1"/>
  <c r="AE276" i="2"/>
  <c r="AC298" i="2"/>
  <c r="AD298" i="2" s="1"/>
  <c r="AA294" i="2"/>
  <c r="AB294" i="2" s="1"/>
  <c r="AE400" i="2"/>
  <c r="AE260" i="2"/>
  <c r="AE238" i="2"/>
  <c r="AE327" i="2"/>
  <c r="AE382" i="2"/>
  <c r="AC225" i="2"/>
  <c r="AD225" i="2" s="1"/>
  <c r="AA316" i="2"/>
  <c r="AB316" i="2" s="1"/>
  <c r="AC315" i="2"/>
  <c r="AD315" i="2" s="1"/>
  <c r="AA400" i="2"/>
  <c r="AB400" i="2" s="1"/>
  <c r="AA388" i="2"/>
  <c r="AB388" i="2" s="1"/>
  <c r="AE393" i="2"/>
  <c r="AE408" i="2"/>
  <c r="AE306" i="2"/>
  <c r="AE254" i="2"/>
  <c r="AC234" i="2"/>
  <c r="AD234" i="2" s="1"/>
  <c r="AA232" i="2"/>
  <c r="AB232" i="2" s="1"/>
  <c r="AA350" i="2"/>
  <c r="AB350" i="2" s="1"/>
  <c r="AA221" i="2"/>
  <c r="AB221" i="2" s="1"/>
  <c r="AA378" i="2"/>
  <c r="AB378" i="2" s="1"/>
  <c r="AA248" i="2"/>
  <c r="AB248" i="2" s="1"/>
  <c r="AC333" i="2"/>
  <c r="AD333" i="2" s="1"/>
  <c r="AE410" i="2"/>
  <c r="AE215" i="2"/>
  <c r="AE241" i="2"/>
  <c r="AE240" i="2"/>
  <c r="AA348" i="2"/>
  <c r="AB348" i="2" s="1"/>
  <c r="AC330" i="2"/>
  <c r="AD330" i="2" s="1"/>
  <c r="AA338" i="2"/>
  <c r="AB338" i="2" s="1"/>
  <c r="AA244" i="2"/>
  <c r="AB244" i="2" s="1"/>
  <c r="AA286" i="2"/>
  <c r="AB286" i="2" s="1"/>
  <c r="AA356" i="2"/>
  <c r="AB356" i="2" s="1"/>
  <c r="AA245" i="2"/>
  <c r="AB245" i="2" s="1"/>
  <c r="AE268" i="2"/>
  <c r="AE338" i="2"/>
  <c r="AE264" i="2"/>
  <c r="AE232" i="2"/>
  <c r="AA399" i="2"/>
  <c r="AB399" i="2" s="1"/>
  <c r="AA283" i="2"/>
  <c r="AB283" i="2" s="1"/>
  <c r="AA355" i="2"/>
  <c r="AB355" i="2" s="1"/>
  <c r="AE244" i="2"/>
  <c r="AE357" i="2"/>
  <c r="AE326" i="2"/>
  <c r="AA369" i="2"/>
  <c r="AB369" i="2" s="1"/>
  <c r="AC308" i="2"/>
  <c r="AD308" i="2" s="1"/>
  <c r="AA264" i="2"/>
  <c r="AB264" i="2" s="1"/>
  <c r="AC270" i="2"/>
  <c r="AD270" i="2" s="1"/>
  <c r="AA222" i="2"/>
  <c r="AB222" i="2" s="1"/>
  <c r="AC408" i="2"/>
  <c r="AD408" i="2" s="1"/>
  <c r="AA391" i="2"/>
  <c r="AB391" i="2" s="1"/>
  <c r="AA396" i="2"/>
  <c r="AB396" i="2" s="1"/>
  <c r="AE280" i="2"/>
  <c r="AE274" i="2"/>
  <c r="AE294" i="2"/>
  <c r="AE304" i="2"/>
  <c r="AE312" i="2"/>
  <c r="AE330" i="2"/>
  <c r="AA335" i="2"/>
  <c r="AB335" i="2" s="1"/>
  <c r="AA403" i="2"/>
  <c r="AB403" i="2" s="1"/>
  <c r="AC411" i="2"/>
  <c r="AD411" i="2" s="1"/>
  <c r="AA274" i="2"/>
  <c r="AB274" i="2" s="1"/>
  <c r="AC378" i="2"/>
  <c r="AD378" i="2" s="1"/>
  <c r="AA393" i="2"/>
  <c r="AB393" i="2" s="1"/>
  <c r="AC256" i="2"/>
  <c r="AD256" i="2" s="1"/>
  <c r="AE248" i="2"/>
  <c r="AE337" i="2"/>
  <c r="AE409" i="2"/>
  <c r="AE245" i="2"/>
  <c r="AE348" i="2"/>
  <c r="AC312" i="2"/>
  <c r="AD312" i="2" s="1"/>
  <c r="AC326" i="2"/>
  <c r="AD326" i="2" s="1"/>
  <c r="AC313" i="2"/>
  <c r="AD313" i="2" s="1"/>
  <c r="AA398" i="2"/>
  <c r="AB398" i="2" s="1"/>
  <c r="AA287" i="2"/>
  <c r="AB287" i="2" s="1"/>
  <c r="AC276" i="2"/>
  <c r="AD276" i="2" s="1"/>
  <c r="AA410" i="2"/>
  <c r="AB410" i="2" s="1"/>
  <c r="AA237" i="2"/>
  <c r="AB237" i="2" s="1"/>
  <c r="AA241" i="2"/>
  <c r="AB241" i="2" s="1"/>
  <c r="AA332" i="2"/>
  <c r="AB332" i="2" s="1"/>
  <c r="AA382" i="2"/>
  <c r="AB382" i="2" s="1"/>
  <c r="AA281" i="2"/>
  <c r="AB281" i="2" s="1"/>
  <c r="AA357" i="2"/>
  <c r="AB357" i="2" s="1"/>
  <c r="AA242" i="2"/>
  <c r="AB242" i="2" s="1"/>
  <c r="AE346" i="2"/>
  <c r="AE406" i="2"/>
  <c r="AE300" i="2"/>
  <c r="AE388" i="2"/>
  <c r="AE231" i="2"/>
  <c r="AE259" i="2"/>
  <c r="AE226" i="2"/>
  <c r="AE399" i="2"/>
  <c r="AE279" i="2"/>
  <c r="AE347" i="2"/>
  <c r="AC369" i="2"/>
  <c r="AD369" i="2" s="1"/>
  <c r="AA313" i="2"/>
  <c r="AB313" i="2" s="1"/>
  <c r="AC287" i="2"/>
  <c r="AD287" i="2" s="1"/>
  <c r="AC321" i="2"/>
  <c r="AD321" i="2" s="1"/>
  <c r="AA372" i="2"/>
  <c r="AB372" i="2" s="1"/>
  <c r="AA366" i="2"/>
  <c r="AB366" i="2" s="1"/>
  <c r="AC281" i="2"/>
  <c r="AD281" i="2" s="1"/>
  <c r="AC391" i="2"/>
  <c r="AD391" i="2" s="1"/>
  <c r="AC396" i="2"/>
  <c r="AD396" i="2" s="1"/>
  <c r="AE307" i="2"/>
  <c r="AE269" i="2"/>
  <c r="AE285" i="2"/>
  <c r="AE331" i="2"/>
  <c r="AE225" i="2"/>
  <c r="AE258" i="2"/>
  <c r="AC258" i="2"/>
  <c r="AD258" i="2" s="1"/>
  <c r="AA240" i="2"/>
  <c r="AB240" i="2" s="1"/>
  <c r="AE336" i="2"/>
  <c r="AE398" i="2"/>
  <c r="AE340" i="2"/>
  <c r="AE310" i="2"/>
  <c r="AE286" i="2"/>
  <c r="AE386" i="2"/>
  <c r="AC386" i="2"/>
  <c r="AD386" i="2" s="1"/>
  <c r="AC310" i="2"/>
  <c r="AD310" i="2" s="1"/>
  <c r="AE376" i="2"/>
  <c r="AE411" i="2"/>
  <c r="AA389" i="2"/>
  <c r="AB389" i="2" s="1"/>
  <c r="AA307" i="2"/>
  <c r="AB307" i="2" s="1"/>
  <c r="AC323" i="2"/>
  <c r="AD323" i="2" s="1"/>
  <c r="AE247" i="2"/>
  <c r="AE319" i="2"/>
  <c r="AC342" i="2"/>
  <c r="AD342" i="2" s="1"/>
  <c r="AA280" i="2"/>
  <c r="AB280" i="2" s="1"/>
  <c r="AA352" i="2"/>
  <c r="AB352" i="2" s="1"/>
  <c r="AA409" i="2"/>
  <c r="AB409" i="2" s="1"/>
  <c r="AE387" i="2"/>
  <c r="AE381" i="2"/>
  <c r="AE296" i="2"/>
  <c r="AC247" i="2"/>
  <c r="AD247" i="2" s="1"/>
  <c r="AA346" i="2"/>
  <c r="AB346" i="2" s="1"/>
  <c r="AC290" i="2"/>
  <c r="AD290" i="2" s="1"/>
  <c r="AA337" i="2"/>
  <c r="AB337" i="2" s="1"/>
  <c r="AC269" i="2"/>
  <c r="AD269" i="2" s="1"/>
  <c r="AE271" i="2"/>
  <c r="AE397" i="2"/>
  <c r="AE401" i="2"/>
  <c r="AA329" i="2"/>
  <c r="AB329" i="2" s="1"/>
  <c r="AA300" i="2"/>
  <c r="AB300" i="2" s="1"/>
  <c r="AA306" i="2"/>
  <c r="AB306" i="2" s="1"/>
  <c r="AE218" i="2"/>
  <c r="AE354" i="2"/>
  <c r="AE219" i="2"/>
  <c r="AA340" i="2"/>
  <c r="AB340" i="2" s="1"/>
  <c r="AA290" i="2"/>
  <c r="AB290" i="2" s="1"/>
  <c r="AA285" i="2"/>
  <c r="AB285" i="2" s="1"/>
  <c r="AA218" i="2"/>
  <c r="AB218" i="2" s="1"/>
  <c r="AE289" i="2"/>
  <c r="AE318" i="2"/>
  <c r="AE223" i="2"/>
  <c r="AA322" i="2"/>
  <c r="AB322" i="2" s="1"/>
  <c r="AC273" i="2"/>
  <c r="AD273" i="2" s="1"/>
  <c r="AC360" i="2"/>
  <c r="AD360" i="2" s="1"/>
  <c r="AE288" i="2"/>
  <c r="AA365" i="2"/>
  <c r="AB365" i="2" s="1"/>
  <c r="AA374" i="2"/>
  <c r="AB374" i="2" s="1"/>
  <c r="AE265" i="2"/>
  <c r="AC405" i="2"/>
  <c r="AD405" i="2" s="1"/>
  <c r="AE305" i="2"/>
  <c r="AE229" i="2"/>
  <c r="AC243" i="2"/>
  <c r="AD243" i="2" s="1"/>
  <c r="AA271" i="2"/>
  <c r="AB271" i="2" s="1"/>
  <c r="AA351" i="2"/>
  <c r="AB351" i="2" s="1"/>
  <c r="AA243" i="2"/>
  <c r="AB243" i="2" s="1"/>
  <c r="AA373" i="2"/>
  <c r="AB373" i="2" s="1"/>
  <c r="AE384" i="2"/>
  <c r="AA305" i="2"/>
  <c r="AB305" i="2" s="1"/>
  <c r="AC227" i="2"/>
  <c r="AD227" i="2" s="1"/>
  <c r="AC302" i="2"/>
  <c r="AD302" i="2" s="1"/>
  <c r="AA224" i="2"/>
  <c r="AB224" i="2" s="1"/>
  <c r="AE402" i="2"/>
  <c r="AE227" i="2"/>
  <c r="AE278" i="2"/>
  <c r="AE220" i="2"/>
  <c r="AE284" i="2"/>
  <c r="AC301" i="2"/>
  <c r="AD301" i="2" s="1"/>
  <c r="AA385" i="2"/>
  <c r="AB385" i="2" s="1"/>
  <c r="AC329" i="2"/>
  <c r="AD329" i="2" s="1"/>
  <c r="AA362" i="2"/>
  <c r="AB362" i="2" s="1"/>
  <c r="AA303" i="2"/>
  <c r="AB303" i="2" s="1"/>
  <c r="AA354" i="2"/>
  <c r="AB354" i="2" s="1"/>
  <c r="AA311" i="2"/>
  <c r="AB311" i="2" s="1"/>
  <c r="AC296" i="2"/>
  <c r="AD296" i="2" s="1"/>
  <c r="AC224" i="2"/>
  <c r="AD224" i="2" s="1"/>
  <c r="AE358" i="2"/>
  <c r="AE368" i="2"/>
  <c r="AA405" i="2"/>
  <c r="AB405" i="2" s="1"/>
  <c r="AC345" i="2"/>
  <c r="AD345" i="2" s="1"/>
  <c r="AC272" i="2"/>
  <c r="AD272" i="2" s="1"/>
  <c r="AA273" i="2"/>
  <c r="AB273" i="2" s="1"/>
  <c r="AA360" i="2"/>
  <c r="AB360" i="2" s="1"/>
  <c r="AC220" i="2"/>
  <c r="AD220" i="2" s="1"/>
  <c r="AE349" i="2"/>
  <c r="AE252" i="2"/>
  <c r="AE275" i="2"/>
  <c r="AA257" i="2"/>
  <c r="AB257" i="2" s="1"/>
  <c r="AA275" i="2"/>
  <c r="AB275" i="2" s="1"/>
  <c r="AE272" i="2"/>
  <c r="AE233" i="2"/>
  <c r="AE365" i="2"/>
  <c r="AA339" i="2"/>
  <c r="AB339" i="2" s="1"/>
  <c r="AA328" i="2"/>
  <c r="AB328" i="2" s="1"/>
  <c r="AC325" i="2"/>
  <c r="AD325" i="2" s="1"/>
  <c r="AA345" i="2"/>
  <c r="AB345" i="2" s="1"/>
  <c r="AA397" i="2"/>
  <c r="AB397" i="2" s="1"/>
  <c r="AC319" i="2"/>
  <c r="AD319" i="2" s="1"/>
  <c r="AC255" i="2"/>
  <c r="AD255" i="2" s="1"/>
  <c r="AE302" i="2"/>
  <c r="AE375" i="2"/>
  <c r="AE246" i="2"/>
  <c r="AE299" i="2"/>
  <c r="AE325" i="2"/>
  <c r="AE362" i="2"/>
  <c r="AE235" i="2"/>
  <c r="AE380" i="2"/>
  <c r="AE249" i="2"/>
  <c r="AE261" i="2"/>
  <c r="AE385" i="2"/>
  <c r="AC217" i="2"/>
  <c r="AD217" i="2" s="1"/>
  <c r="AC352" i="2"/>
  <c r="AD352" i="2" s="1"/>
  <c r="AC381" i="2"/>
  <c r="AD381" i="2" s="1"/>
  <c r="AC295" i="2"/>
  <c r="AD295" i="2" s="1"/>
  <c r="AC363" i="2"/>
  <c r="AD363" i="2" s="1"/>
  <c r="AA412" i="2"/>
  <c r="AB412" i="2" s="1"/>
  <c r="AA253" i="2"/>
  <c r="AB253" i="2" s="1"/>
  <c r="AA255" i="2"/>
  <c r="AB255" i="2" s="1"/>
  <c r="AA361" i="2"/>
  <c r="AB361" i="2" s="1"/>
  <c r="AA368" i="2"/>
  <c r="AB368" i="2" s="1"/>
  <c r="AA402" i="2"/>
  <c r="AB402" i="2" s="1"/>
  <c r="AA235" i="2"/>
  <c r="AB235" i="2" s="1"/>
  <c r="AA295" i="2"/>
  <c r="AB295" i="2" s="1"/>
  <c r="AA363" i="2"/>
  <c r="AB363" i="2" s="1"/>
  <c r="AA246" i="2"/>
  <c r="AB246" i="2" s="1"/>
  <c r="AA371" i="2"/>
  <c r="AB371" i="2" s="1"/>
  <c r="AA249" i="2"/>
  <c r="AB249" i="2" s="1"/>
  <c r="AA331" i="2"/>
  <c r="AB331" i="2" s="1"/>
  <c r="AG301" i="2"/>
  <c r="AH301" i="2" s="1"/>
  <c r="AG217" i="2"/>
  <c r="AH217" i="2" s="1"/>
  <c r="AG317" i="2"/>
  <c r="AH317" i="2" s="1"/>
  <c r="AG243" i="2"/>
  <c r="AH243" i="2" s="1"/>
  <c r="AG343" i="2"/>
  <c r="AH343" i="2" s="1"/>
  <c r="AG351" i="2"/>
  <c r="AH351" i="2" s="1"/>
  <c r="AG228" i="2"/>
  <c r="AH228" i="2" s="1"/>
  <c r="AG282" i="2"/>
  <c r="AH282" i="2" s="1"/>
  <c r="AG397" i="2"/>
  <c r="AH397" i="2" s="1"/>
  <c r="AG288" i="2"/>
  <c r="AH288" i="2" s="1"/>
  <c r="AG405" i="2"/>
  <c r="AH405" i="2" s="1"/>
  <c r="AG368" i="2"/>
  <c r="AH368" i="2" s="1"/>
  <c r="AA216" i="2"/>
  <c r="AB216" i="2" s="1"/>
  <c r="AC216" i="2"/>
  <c r="AD216" i="2" s="1"/>
  <c r="AE301" i="2"/>
  <c r="AG292" i="2"/>
  <c r="AH292" i="2" s="1"/>
  <c r="AG390" i="2"/>
  <c r="AH390" i="2" s="1"/>
  <c r="AG344" i="2"/>
  <c r="AH344" i="2" s="1"/>
  <c r="AG361" i="2"/>
  <c r="AH361" i="2" s="1"/>
  <c r="AG377" i="2"/>
  <c r="AH377" i="2" s="1"/>
  <c r="AG328" i="2"/>
  <c r="AH328" i="2" s="1"/>
  <c r="AG289" i="2"/>
  <c r="AH289" i="2" s="1"/>
  <c r="AG265" i="2"/>
  <c r="AH265" i="2" s="1"/>
  <c r="AG235" i="2"/>
  <c r="AH235" i="2" s="1"/>
  <c r="AG395" i="2"/>
  <c r="AH395" i="2" s="1"/>
  <c r="AG345" i="2"/>
  <c r="AH345" i="2" s="1"/>
  <c r="AG380" i="2"/>
  <c r="AH380" i="2" s="1"/>
  <c r="AG216" i="2"/>
  <c r="AH216" i="2" s="1"/>
  <c r="AG275" i="2"/>
  <c r="AH275" i="2" s="1"/>
  <c r="AG303" i="2"/>
  <c r="AH303" i="2" s="1"/>
  <c r="AG349" i="2"/>
  <c r="AH349" i="2" s="1"/>
  <c r="AG320" i="2"/>
  <c r="AH320" i="2" s="1"/>
  <c r="AG404" i="2"/>
  <c r="AH404" i="2" s="1"/>
  <c r="AG402" i="2"/>
  <c r="AH402" i="2" s="1"/>
  <c r="AG220" i="2"/>
  <c r="AH220" i="2" s="1"/>
  <c r="AG299" i="2"/>
  <c r="AH299" i="2" s="1"/>
  <c r="AG249" i="2"/>
  <c r="AH249" i="2" s="1"/>
  <c r="AG311" i="2"/>
  <c r="AH311" i="2" s="1"/>
  <c r="AG379" i="2"/>
  <c r="AH379" i="2" s="1"/>
  <c r="AG278" i="2"/>
  <c r="AH278" i="2" s="1"/>
  <c r="AC261" i="2"/>
  <c r="AD261" i="2" s="1"/>
  <c r="AA217" i="2"/>
  <c r="AB217" i="2" s="1"/>
  <c r="AE216" i="2"/>
  <c r="AC292" i="2"/>
  <c r="AD292" i="2" s="1"/>
  <c r="AA292" i="2"/>
  <c r="AB292" i="2" s="1"/>
  <c r="AG261" i="2"/>
  <c r="AH261" i="2" s="1"/>
  <c r="AG373" i="2"/>
  <c r="AH373" i="2" s="1"/>
  <c r="AG239" i="2"/>
  <c r="AH239" i="2" s="1"/>
  <c r="AG318" i="2"/>
  <c r="AH318" i="2" s="1"/>
  <c r="AG394" i="2"/>
  <c r="AH394" i="2" s="1"/>
  <c r="AG385" i="2"/>
  <c r="AH385" i="2" s="1"/>
  <c r="AG401" i="2"/>
  <c r="AH401" i="2" s="1"/>
  <c r="AG324" i="2"/>
  <c r="AH324" i="2" s="1"/>
  <c r="AG325" i="2"/>
  <c r="AH325" i="2" s="1"/>
  <c r="AG412" i="2"/>
  <c r="AH412" i="2" s="1"/>
  <c r="AG362" i="2"/>
  <c r="AH362" i="2" s="1"/>
  <c r="AG370" i="2"/>
  <c r="AH370" i="2" s="1"/>
  <c r="AE334" i="2"/>
  <c r="AE395" i="2"/>
  <c r="AE328" i="2"/>
  <c r="AE412" i="2"/>
  <c r="K311" i="2" s="1"/>
  <c r="AE314" i="2"/>
  <c r="AE339" i="2"/>
  <c r="AE250" i="2"/>
  <c r="AE320" i="2"/>
  <c r="AE394" i="2"/>
  <c r="AC257" i="2"/>
  <c r="AD257" i="2" s="1"/>
  <c r="AC322" i="2"/>
  <c r="AD322" i="2" s="1"/>
  <c r="AC373" i="2"/>
  <c r="AD373" i="2" s="1"/>
  <c r="AC389" i="2"/>
  <c r="AD389" i="2" s="1"/>
  <c r="AC351" i="2"/>
  <c r="AD351" i="2" s="1"/>
  <c r="AC303" i="2"/>
  <c r="AD303" i="2" s="1"/>
  <c r="AC371" i="2"/>
  <c r="AD371" i="2" s="1"/>
  <c r="AC311" i="2"/>
  <c r="AD311" i="2" s="1"/>
  <c r="AC253" i="2"/>
  <c r="AD253" i="2" s="1"/>
  <c r="AC390" i="2"/>
  <c r="AD390" i="2" s="1"/>
  <c r="AC374" i="2"/>
  <c r="AD374" i="2" s="1"/>
  <c r="AC361" i="2"/>
  <c r="AD361" i="2" s="1"/>
  <c r="AG271" i="2"/>
  <c r="AH271" i="2" s="1"/>
  <c r="AG257" i="2"/>
  <c r="AH257" i="2" s="1"/>
  <c r="AG305" i="2"/>
  <c r="AH305" i="2" s="1"/>
  <c r="AG322" i="2"/>
  <c r="AH322" i="2" s="1"/>
  <c r="AG339" i="2"/>
  <c r="AH339" i="2" s="1"/>
  <c r="AG365" i="2"/>
  <c r="AH365" i="2" s="1"/>
  <c r="AG219" i="2"/>
  <c r="AH219" i="2" s="1"/>
  <c r="AG334" i="2"/>
  <c r="AH334" i="2" s="1"/>
  <c r="AG381" i="2"/>
  <c r="AH381" i="2" s="1"/>
  <c r="AG252" i="2"/>
  <c r="AH252" i="2" s="1"/>
  <c r="AG273" i="2"/>
  <c r="AH273" i="2" s="1"/>
  <c r="AG371" i="2"/>
  <c r="AH371" i="2" s="1"/>
  <c r="AG360" i="2"/>
  <c r="AH360" i="2" s="1"/>
  <c r="AG374" i="2"/>
  <c r="AH374" i="2" s="1"/>
  <c r="AG314" i="2"/>
  <c r="AH314" i="2" s="1"/>
  <c r="AG230" i="2"/>
  <c r="AH230" i="2" s="1"/>
  <c r="AG407" i="2"/>
  <c r="AH407" i="2" s="1"/>
  <c r="AG384" i="2"/>
  <c r="AH384" i="2" s="1"/>
  <c r="AG262" i="2"/>
  <c r="AH262" i="2" s="1"/>
  <c r="AG223" i="2"/>
  <c r="AH223" i="2" s="1"/>
  <c r="AG229" i="2"/>
  <c r="AH229" i="2" s="1"/>
  <c r="AG236" i="2"/>
  <c r="AH236" i="2" s="1"/>
  <c r="AG392" i="2"/>
  <c r="AH392" i="2" s="1"/>
  <c r="AG233" i="2"/>
  <c r="AH233" i="2" s="1"/>
  <c r="AG284" i="2"/>
  <c r="AH284" i="2" s="1"/>
  <c r="AG218" i="2"/>
  <c r="AH218" i="2" s="1"/>
  <c r="AG354" i="2"/>
  <c r="AH354" i="2" s="1"/>
  <c r="AG255" i="2"/>
  <c r="AH255" i="2" s="1"/>
  <c r="AG297" i="2"/>
  <c r="AH297" i="2" s="1"/>
  <c r="AG295" i="2"/>
  <c r="AH295" i="2" s="1"/>
  <c r="AG272" i="2"/>
  <c r="AH272" i="2" s="1"/>
  <c r="AG329" i="2"/>
  <c r="AH329" i="2" s="1"/>
  <c r="AG346" i="2"/>
  <c r="AH346" i="2" s="1"/>
  <c r="AG363" i="2"/>
  <c r="AH363" i="2" s="1"/>
  <c r="AG389" i="2"/>
  <c r="AH389" i="2" s="1"/>
  <c r="AG290" i="2"/>
  <c r="AH290" i="2" s="1"/>
  <c r="AG358" i="2"/>
  <c r="AH358" i="2" s="1"/>
  <c r="AG224" i="2"/>
  <c r="AH224" i="2" s="1"/>
  <c r="AG253" i="2"/>
  <c r="AH253" i="2" s="1"/>
  <c r="AG250" i="2"/>
  <c r="AH250" i="2" s="1"/>
  <c r="AG375" i="2"/>
  <c r="AH375" i="2" s="1"/>
  <c r="AG352" i="2"/>
  <c r="AH352" i="2" s="1"/>
  <c r="AG409" i="2"/>
  <c r="AH409" i="2" s="1"/>
  <c r="AG247" i="2"/>
  <c r="AH247" i="2" s="1"/>
  <c r="AG227" i="2"/>
  <c r="AH227" i="2" s="1"/>
  <c r="AG302" i="2"/>
  <c r="AH302" i="2" s="1"/>
  <c r="AG319" i="2"/>
  <c r="AH319" i="2" s="1"/>
  <c r="AG296" i="2"/>
  <c r="AH296" i="2" s="1"/>
  <c r="AG387" i="2"/>
  <c r="AH387" i="2" s="1"/>
  <c r="AG246" i="2"/>
  <c r="AH246" i="2" s="1"/>
  <c r="AA390" i="2"/>
  <c r="AB390" i="2" s="1"/>
  <c r="AE392" i="2"/>
  <c r="AE344" i="2"/>
  <c r="AE239" i="2"/>
  <c r="AC343" i="2"/>
  <c r="AD343" i="2" s="1"/>
  <c r="AC320" i="2"/>
  <c r="AD320" i="2" s="1"/>
  <c r="AC377" i="2"/>
  <c r="AD377" i="2" s="1"/>
  <c r="AC394" i="2"/>
  <c r="AD394" i="2" s="1"/>
  <c r="AC229" i="2"/>
  <c r="AD229" i="2" s="1"/>
  <c r="AC230" i="2"/>
  <c r="AD230" i="2" s="1"/>
  <c r="AC236" i="2"/>
  <c r="AD236" i="2" s="1"/>
  <c r="AC392" i="2"/>
  <c r="AD392" i="2" s="1"/>
  <c r="AC233" i="2"/>
  <c r="AD233" i="2" s="1"/>
  <c r="AC284" i="2"/>
  <c r="AD284" i="2" s="1"/>
  <c r="AC228" i="2"/>
  <c r="AD228" i="2" s="1"/>
  <c r="AC250" i="2"/>
  <c r="AD250" i="2" s="1"/>
  <c r="AC344" i="2"/>
  <c r="AD344" i="2" s="1"/>
  <c r="AC401" i="2"/>
  <c r="AD401" i="2" s="1"/>
  <c r="AC239" i="2"/>
  <c r="AD239" i="2" s="1"/>
  <c r="AC288" i="2"/>
  <c r="AD288" i="2" s="1"/>
  <c r="AC278" i="2"/>
  <c r="AD278" i="2" s="1"/>
  <c r="AC380" i="2"/>
  <c r="AD380" i="2" s="1"/>
  <c r="AC289" i="2"/>
  <c r="AD289" i="2" s="1"/>
  <c r="AC349" i="2"/>
  <c r="AD349" i="2" s="1"/>
  <c r="AG335" i="2"/>
  <c r="AH335" i="2" s="1"/>
  <c r="AG312" i="2"/>
  <c r="AH312" i="2" s="1"/>
  <c r="AG369" i="2"/>
  <c r="AH369" i="2" s="1"/>
  <c r="AG386" i="2"/>
  <c r="AH386" i="2" s="1"/>
  <c r="AG403" i="2"/>
  <c r="AH403" i="2" s="1"/>
  <c r="AG258" i="2"/>
  <c r="AH258" i="2" s="1"/>
  <c r="AG411" i="2"/>
  <c r="AH411" i="2" s="1"/>
  <c r="AG398" i="2"/>
  <c r="AH398" i="2" s="1"/>
  <c r="AG342" i="2"/>
  <c r="AH342" i="2" s="1"/>
  <c r="AG340" i="2"/>
  <c r="AH340" i="2" s="1"/>
  <c r="AG337" i="2"/>
  <c r="AH337" i="2" s="1"/>
  <c r="AG269" i="2"/>
  <c r="AH269" i="2" s="1"/>
  <c r="AG306" i="2"/>
  <c r="AH306" i="2" s="1"/>
  <c r="AG327" i="2"/>
  <c r="AH327" i="2" s="1"/>
  <c r="AG331" i="2"/>
  <c r="AH331" i="2" s="1"/>
  <c r="AG308" i="2"/>
  <c r="AH308" i="2" s="1"/>
  <c r="AG232" i="2"/>
  <c r="AH232" i="2" s="1"/>
  <c r="AG266" i="2"/>
  <c r="AH266" i="2" s="1"/>
  <c r="AG283" i="2"/>
  <c r="AH283" i="2" s="1"/>
  <c r="AG316" i="2"/>
  <c r="AH316" i="2" s="1"/>
  <c r="AG221" i="2"/>
  <c r="AH221" i="2" s="1"/>
  <c r="AG274" i="2"/>
  <c r="AH274" i="2" s="1"/>
  <c r="AG291" i="2"/>
  <c r="AH291" i="2" s="1"/>
  <c r="AG367" i="2"/>
  <c r="AH367" i="2" s="1"/>
  <c r="AG307" i="2"/>
  <c r="AH307" i="2" s="1"/>
  <c r="AG285" i="2"/>
  <c r="AH285" i="2" s="1"/>
  <c r="AG378" i="2"/>
  <c r="AH378" i="2" s="1"/>
  <c r="AG359" i="2"/>
  <c r="AH359" i="2" s="1"/>
  <c r="AG336" i="2"/>
  <c r="AH336" i="2" s="1"/>
  <c r="AG393" i="2"/>
  <c r="AH393" i="2" s="1"/>
  <c r="AG410" i="2"/>
  <c r="AH410" i="2" s="1"/>
  <c r="AG248" i="2"/>
  <c r="AH248" i="2" s="1"/>
  <c r="AG286" i="2"/>
  <c r="AH286" i="2" s="1"/>
  <c r="AG364" i="2"/>
  <c r="AH364" i="2" s="1"/>
  <c r="AG245" i="2"/>
  <c r="AH245" i="2" s="1"/>
  <c r="AG310" i="2"/>
  <c r="AH310" i="2" s="1"/>
  <c r="AG241" i="2"/>
  <c r="AH241" i="2" s="1"/>
  <c r="AG382" i="2"/>
  <c r="AH382" i="2" s="1"/>
  <c r="AG260" i="2"/>
  <c r="AH260" i="2" s="1"/>
  <c r="AG237" i="2"/>
  <c r="AH237" i="2" s="1"/>
  <c r="AG356" i="2"/>
  <c r="AH356" i="2" s="1"/>
  <c r="AG388" i="2"/>
  <c r="AH388" i="2" s="1"/>
  <c r="AG277" i="2"/>
  <c r="AH277" i="2" s="1"/>
  <c r="AG366" i="2"/>
  <c r="AH366" i="2" s="1"/>
  <c r="AG383" i="2"/>
  <c r="AH383" i="2" s="1"/>
  <c r="AG353" i="2"/>
  <c r="AH353" i="2" s="1"/>
  <c r="AG242" i="2"/>
  <c r="AH242" i="2" s="1"/>
  <c r="AG267" i="2"/>
  <c r="AH267" i="2" s="1"/>
  <c r="AE230" i="2"/>
  <c r="AA343" i="2"/>
  <c r="AB343" i="2" s="1"/>
  <c r="AA377" i="2"/>
  <c r="AB377" i="2" s="1"/>
  <c r="AA236" i="2"/>
  <c r="AB236" i="2" s="1"/>
  <c r="AA228" i="2"/>
  <c r="AB228" i="2" s="1"/>
  <c r="AE370" i="2"/>
  <c r="AE297" i="2"/>
  <c r="AC407" i="2"/>
  <c r="AD407" i="2" s="1"/>
  <c r="AC384" i="2"/>
  <c r="AD384" i="2" s="1"/>
  <c r="AC262" i="2"/>
  <c r="AD262" i="2" s="1"/>
  <c r="AC223" i="2"/>
  <c r="AD223" i="2" s="1"/>
  <c r="AC404" i="2"/>
  <c r="AD404" i="2" s="1"/>
  <c r="AC334" i="2"/>
  <c r="AD334" i="2" s="1"/>
  <c r="AC375" i="2"/>
  <c r="AD375" i="2" s="1"/>
  <c r="AC379" i="2"/>
  <c r="AD379" i="2" s="1"/>
  <c r="AC314" i="2"/>
  <c r="AD314" i="2" s="1"/>
  <c r="AC317" i="2"/>
  <c r="AD317" i="2" s="1"/>
  <c r="AC297" i="2"/>
  <c r="AD297" i="2" s="1"/>
  <c r="AC219" i="2"/>
  <c r="AD219" i="2" s="1"/>
  <c r="AC324" i="2"/>
  <c r="AD324" i="2" s="1"/>
  <c r="AC265" i="2"/>
  <c r="AD265" i="2" s="1"/>
  <c r="AC282" i="2"/>
  <c r="AD282" i="2" s="1"/>
  <c r="AC299" i="2"/>
  <c r="AD299" i="2" s="1"/>
  <c r="AC395" i="2"/>
  <c r="AD395" i="2" s="1"/>
  <c r="AC252" i="2"/>
  <c r="AD252" i="2" s="1"/>
  <c r="AC358" i="2"/>
  <c r="AD358" i="2" s="1"/>
  <c r="AC370" i="2"/>
  <c r="AD370" i="2" s="1"/>
  <c r="AC387" i="2"/>
  <c r="AD387" i="2" s="1"/>
  <c r="AC318" i="2"/>
  <c r="AD318" i="2" s="1"/>
  <c r="AG399" i="2"/>
  <c r="AH399" i="2" s="1"/>
  <c r="AG376" i="2"/>
  <c r="AH376" i="2" s="1"/>
  <c r="AG254" i="2"/>
  <c r="AH254" i="2" s="1"/>
  <c r="AG234" i="2"/>
  <c r="AH234" i="2" s="1"/>
  <c r="AG348" i="2"/>
  <c r="AH348" i="2" s="1"/>
  <c r="AG326" i="2"/>
  <c r="AH326" i="2" s="1"/>
  <c r="AG240" i="2"/>
  <c r="AH240" i="2" s="1"/>
  <c r="AG406" i="2"/>
  <c r="AH406" i="2" s="1"/>
  <c r="AG280" i="2"/>
  <c r="AH280" i="2" s="1"/>
  <c r="AG300" i="2"/>
  <c r="AH300" i="2" s="1"/>
  <c r="AG294" i="2"/>
  <c r="AH294" i="2" s="1"/>
  <c r="AG323" i="2"/>
  <c r="AH323" i="2" s="1"/>
  <c r="AG304" i="2"/>
  <c r="AH304" i="2" s="1"/>
  <c r="AG276" i="2"/>
  <c r="AH276" i="2" s="1"/>
  <c r="AG279" i="2"/>
  <c r="AH279" i="2" s="1"/>
  <c r="AG225" i="2"/>
  <c r="AH225" i="2" s="1"/>
  <c r="AG313" i="2"/>
  <c r="AH313" i="2" s="1"/>
  <c r="AG330" i="2"/>
  <c r="AH330" i="2" s="1"/>
  <c r="AG347" i="2"/>
  <c r="AH347" i="2" s="1"/>
  <c r="AG287" i="2"/>
  <c r="AH287" i="2" s="1"/>
  <c r="AG264" i="2"/>
  <c r="AH264" i="2" s="1"/>
  <c r="AG321" i="2"/>
  <c r="AH321" i="2" s="1"/>
  <c r="AG338" i="2"/>
  <c r="AH338" i="2" s="1"/>
  <c r="AG355" i="2"/>
  <c r="AH355" i="2" s="1"/>
  <c r="AG408" i="2"/>
  <c r="AH408" i="2" s="1"/>
  <c r="AG333" i="2"/>
  <c r="AH333" i="2" s="1"/>
  <c r="AG259" i="2"/>
  <c r="AH259" i="2" s="1"/>
  <c r="AG357" i="2"/>
  <c r="AH357" i="2" s="1"/>
  <c r="AG244" i="2"/>
  <c r="AH244" i="2" s="1"/>
  <c r="AG400" i="2"/>
  <c r="AH400" i="2" s="1"/>
  <c r="AG222" i="2"/>
  <c r="AH222" i="2" s="1"/>
  <c r="AG332" i="2"/>
  <c r="AH332" i="2" s="1"/>
  <c r="AG268" i="2"/>
  <c r="AH268" i="2" s="1"/>
  <c r="AG350" i="2"/>
  <c r="AH350" i="2" s="1"/>
  <c r="AG256" i="2"/>
  <c r="AH256" i="2" s="1"/>
  <c r="AG396" i="2"/>
  <c r="AH396" i="2" s="1"/>
  <c r="AG391" i="2"/>
  <c r="AH391" i="2" s="1"/>
  <c r="AG226" i="2"/>
  <c r="AH226" i="2" s="1"/>
  <c r="AG270" i="2"/>
  <c r="AH270" i="2" s="1"/>
  <c r="AG372" i="2"/>
  <c r="AH372" i="2" s="1"/>
  <c r="AG281" i="2"/>
  <c r="AH281" i="2" s="1"/>
  <c r="AG298" i="2"/>
  <c r="AH298" i="2" s="1"/>
  <c r="AG315" i="2"/>
  <c r="AH315" i="2" s="1"/>
  <c r="AG341" i="2"/>
  <c r="AH341" i="2" s="1"/>
  <c r="AG251" i="2"/>
  <c r="AH251" i="2" s="1"/>
  <c r="AG231" i="2"/>
  <c r="AH231" i="2" s="1"/>
  <c r="AG238" i="2"/>
  <c r="AH238" i="2" s="1"/>
  <c r="AG263" i="2"/>
  <c r="AH263" i="2" s="1"/>
  <c r="AG293" i="2"/>
  <c r="AH293" i="2" s="1"/>
  <c r="AE324" i="2"/>
  <c r="AE282" i="2"/>
  <c r="AE317" i="2"/>
  <c r="AE379" i="2"/>
  <c r="AE404" i="2"/>
  <c r="AE407" i="2"/>
  <c r="AE262" i="2"/>
</calcChain>
</file>

<file path=xl/sharedStrings.xml><?xml version="1.0" encoding="utf-8"?>
<sst xmlns="http://schemas.openxmlformats.org/spreadsheetml/2006/main" count="741" uniqueCount="210">
  <si>
    <t>O</t>
  </si>
  <si>
    <t>Cu</t>
  </si>
  <si>
    <t>S</t>
  </si>
  <si>
    <t>Zn</t>
  </si>
  <si>
    <t>Ga</t>
  </si>
  <si>
    <t>Ge</t>
  </si>
  <si>
    <t>µ/ρ 1</t>
  </si>
  <si>
    <t>µ/ρ 2</t>
  </si>
  <si>
    <t>Se</t>
  </si>
  <si>
    <t>atomic number</t>
  </si>
  <si>
    <t>Mo</t>
  </si>
  <si>
    <t>element</t>
  </si>
  <si>
    <t>quantity</t>
  </si>
  <si>
    <t>In</t>
  </si>
  <si>
    <t>Sn</t>
  </si>
  <si>
    <t>a [Å]</t>
  </si>
  <si>
    <t>b [Å]</t>
  </si>
  <si>
    <t>c [Å]</t>
  </si>
  <si>
    <t>Σ</t>
  </si>
  <si>
    <t>weight fraction [%]</t>
  </si>
  <si>
    <t>fractional µ/ρ</t>
  </si>
  <si>
    <r>
      <t>µ/</t>
    </r>
    <r>
      <rPr>
        <b/>
        <sz val="11"/>
        <color theme="0"/>
        <rFont val="Calibri"/>
        <family val="2"/>
      </rPr>
      <t>ρ [cm</t>
    </r>
    <r>
      <rPr>
        <b/>
        <vertAlign val="superscript"/>
        <sz val="11"/>
        <color theme="0"/>
        <rFont val="Calibri"/>
        <family val="2"/>
      </rPr>
      <t>2</t>
    </r>
    <r>
      <rPr>
        <b/>
        <sz val="11"/>
        <color theme="0"/>
        <rFont val="Calibri"/>
        <family val="2"/>
      </rPr>
      <t xml:space="preserve"> g</t>
    </r>
    <r>
      <rPr>
        <b/>
        <vertAlign val="superscript"/>
        <sz val="11"/>
        <color theme="0"/>
        <rFont val="Calibri"/>
        <family val="2"/>
      </rPr>
      <t>-1</t>
    </r>
    <r>
      <rPr>
        <b/>
        <sz val="11"/>
        <color theme="0"/>
        <rFont val="Calibri"/>
        <family val="2"/>
      </rPr>
      <t>]</t>
    </r>
  </si>
  <si>
    <r>
      <t>total mass [g mol</t>
    </r>
    <r>
      <rPr>
        <b/>
        <vertAlign val="superscript"/>
        <sz val="11"/>
        <color theme="0"/>
        <rFont val="Calibri"/>
        <family val="2"/>
        <scheme val="minor"/>
      </rPr>
      <t>-1</t>
    </r>
    <r>
      <rPr>
        <b/>
        <sz val="11"/>
        <color theme="0"/>
        <rFont val="Calibri"/>
        <family val="2"/>
        <scheme val="minor"/>
      </rPr>
      <t>]</t>
    </r>
  </si>
  <si>
    <r>
      <t>M [g mol</t>
    </r>
    <r>
      <rPr>
        <b/>
        <vertAlign val="superscript"/>
        <sz val="11"/>
        <color theme="0"/>
        <rFont val="Calibri"/>
        <family val="2"/>
        <scheme val="minor"/>
      </rPr>
      <t>-1</t>
    </r>
    <r>
      <rPr>
        <b/>
        <sz val="11"/>
        <color theme="0"/>
        <rFont val="Calibri"/>
        <family val="2"/>
        <scheme val="minor"/>
      </rPr>
      <t>]</t>
    </r>
  </si>
  <si>
    <t>Mg</t>
  </si>
  <si>
    <t>Al</t>
  </si>
  <si>
    <t>Si</t>
  </si>
  <si>
    <t>P</t>
  </si>
  <si>
    <t>Cl</t>
  </si>
  <si>
    <t>K</t>
  </si>
  <si>
    <t>Ca</t>
  </si>
  <si>
    <t>Ti</t>
  </si>
  <si>
    <t>Cr</t>
  </si>
  <si>
    <t>Mn</t>
  </si>
  <si>
    <t>Fe</t>
  </si>
  <si>
    <t>Co</t>
  </si>
  <si>
    <t>Ni</t>
  </si>
  <si>
    <t>As</t>
  </si>
  <si>
    <t>Br</t>
  </si>
  <si>
    <t>Cd</t>
  </si>
  <si>
    <t>Pb</t>
  </si>
  <si>
    <t>Te</t>
  </si>
  <si>
    <t>H</t>
  </si>
  <si>
    <t>He</t>
  </si>
  <si>
    <t>Li</t>
  </si>
  <si>
    <t>Be</t>
  </si>
  <si>
    <t>B</t>
  </si>
  <si>
    <t>C</t>
  </si>
  <si>
    <t>N</t>
  </si>
  <si>
    <t>F</t>
  </si>
  <si>
    <t>Ne</t>
  </si>
  <si>
    <t>Na</t>
  </si>
  <si>
    <t>Ar</t>
  </si>
  <si>
    <t>Sc</t>
  </si>
  <si>
    <t>V</t>
  </si>
  <si>
    <t>Kr</t>
  </si>
  <si>
    <t>Rb</t>
  </si>
  <si>
    <t>Sr</t>
  </si>
  <si>
    <t>Y</t>
  </si>
  <si>
    <t>Zr</t>
  </si>
  <si>
    <t>Nb</t>
  </si>
  <si>
    <t>Ru</t>
  </si>
  <si>
    <t>Rh</t>
  </si>
  <si>
    <t>Pd</t>
  </si>
  <si>
    <t>Ag</t>
  </si>
  <si>
    <t>Sb</t>
  </si>
  <si>
    <t>Tc</t>
  </si>
  <si>
    <t>I</t>
  </si>
  <si>
    <t>Xe</t>
  </si>
  <si>
    <t>Cs</t>
  </si>
  <si>
    <t>Ba</t>
  </si>
  <si>
    <t>La</t>
  </si>
  <si>
    <t>Ce</t>
  </si>
  <si>
    <t>µ/ρ 3</t>
  </si>
  <si>
    <t>µ/ρ 4</t>
  </si>
  <si>
    <t>W</t>
  </si>
  <si>
    <t>Pt</t>
  </si>
  <si>
    <t>Au</t>
  </si>
  <si>
    <t>Hg</t>
  </si>
  <si>
    <t>Bi</t>
  </si>
  <si>
    <t>fixed values / constants</t>
  </si>
  <si>
    <t>output / result</t>
  </si>
  <si>
    <r>
      <t xml:space="preserve">WAVELENGTH </t>
    </r>
    <r>
      <rPr>
        <b/>
        <sz val="11"/>
        <rFont val="Calibri"/>
        <family val="2"/>
      </rPr>
      <t>↔</t>
    </r>
    <r>
      <rPr>
        <b/>
        <sz val="11"/>
        <rFont val="Calibri"/>
        <family val="2"/>
        <scheme val="minor"/>
      </rPr>
      <t xml:space="preserve"> ENERGY CALCULATOR:</t>
    </r>
  </si>
  <si>
    <t>Wavelength [Å]</t>
  </si>
  <si>
    <t>Energy [keV]</t>
  </si>
  <si>
    <t>GENERAL INFORMATION:</t>
  </si>
  <si>
    <t>α [°]</t>
  </si>
  <si>
    <t>β [°]</t>
  </si>
  <si>
    <t>γ [°]</t>
  </si>
  <si>
    <t>COLOR LEGEND:</t>
  </si>
  <si>
    <t>user input (optional)</t>
  </si>
  <si>
    <t>user input (mandatory)</t>
  </si>
  <si>
    <t>STRUCTURE INFORMATION:</t>
  </si>
  <si>
    <t>CHEMICAL INFORMATION:</t>
  </si>
  <si>
    <t>Fr</t>
  </si>
  <si>
    <t>Ra</t>
  </si>
  <si>
    <t>Lu</t>
  </si>
  <si>
    <t>Hf</t>
  </si>
  <si>
    <t>Ta</t>
  </si>
  <si>
    <t>Re</t>
  </si>
  <si>
    <t>Os</t>
  </si>
  <si>
    <t>Ir</t>
  </si>
  <si>
    <t>Tl</t>
  </si>
  <si>
    <t>Po</t>
  </si>
  <si>
    <t>At</t>
  </si>
  <si>
    <t>Rn</t>
  </si>
  <si>
    <t>Pr</t>
  </si>
  <si>
    <t>Nd</t>
  </si>
  <si>
    <t>Pm</t>
  </si>
  <si>
    <t>Sm</t>
  </si>
  <si>
    <t>Eu</t>
  </si>
  <si>
    <t>Gd</t>
  </si>
  <si>
    <t>Tb</t>
  </si>
  <si>
    <t>Dy</t>
  </si>
  <si>
    <t>Ho</t>
  </si>
  <si>
    <t>Er</t>
  </si>
  <si>
    <t>Tm</t>
  </si>
  <si>
    <t>Yb</t>
  </si>
  <si>
    <t>y</t>
  </si>
  <si>
    <t>B1</t>
  </si>
  <si>
    <t>B2</t>
  </si>
  <si>
    <t>B3</t>
  </si>
  <si>
    <t>B4</t>
  </si>
  <si>
    <t>B5</t>
  </si>
  <si>
    <t>B6</t>
  </si>
  <si>
    <t>B7</t>
  </si>
  <si>
    <t>B8</t>
  </si>
  <si>
    <t>B9</t>
  </si>
  <si>
    <t>(Linear fit)</t>
  </si>
  <si>
    <t>CONSTANTS:</t>
  </si>
  <si>
    <r>
      <t>Speed of light [m s</t>
    </r>
    <r>
      <rPr>
        <b/>
        <vertAlign val="superscript"/>
        <sz val="11"/>
        <color theme="1"/>
        <rFont val="Calibri"/>
        <family val="2"/>
        <scheme val="minor"/>
      </rPr>
      <t>-1</t>
    </r>
    <r>
      <rPr>
        <b/>
        <sz val="11"/>
        <color theme="1"/>
        <rFont val="Calibri"/>
        <family val="2"/>
        <scheme val="minor"/>
      </rPr>
      <t>]:</t>
    </r>
  </si>
  <si>
    <t>Avogadro's number:</t>
  </si>
  <si>
    <t>Elementary charge [A s]:</t>
  </si>
  <si>
    <t>Planck's constant [J s]:</t>
  </si>
  <si>
    <r>
      <t>at which I/I</t>
    </r>
    <r>
      <rPr>
        <b/>
        <vertAlign val="subscript"/>
        <sz val="11"/>
        <color theme="0"/>
        <rFont val="Calibri"/>
        <family val="2"/>
      </rPr>
      <t>0</t>
    </r>
    <r>
      <rPr>
        <b/>
        <sz val="11"/>
        <color theme="0"/>
        <rFont val="Calibri"/>
        <family val="2"/>
      </rPr>
      <t xml:space="preserve"> =</t>
    </r>
  </si>
  <si>
    <t>average</t>
  </si>
  <si>
    <t>Incidence angle (GIXRD) [°]
ω</t>
  </si>
  <si>
    <t>Start angle [°]
2Θ(min)</t>
  </si>
  <si>
    <t>End angle [°]
2Θ(max)</t>
  </si>
  <si>
    <r>
      <t>I/I</t>
    </r>
    <r>
      <rPr>
        <b/>
        <vertAlign val="subscript"/>
        <sz val="11"/>
        <color theme="0"/>
        <rFont val="Calibri"/>
        <family val="2"/>
        <scheme val="minor"/>
      </rPr>
      <t>0</t>
    </r>
    <r>
      <rPr>
        <b/>
        <sz val="11"/>
        <color theme="0"/>
        <rFont val="Calibri"/>
        <family val="2"/>
        <scheme val="minor"/>
      </rPr>
      <t xml:space="preserve"> (att. factor)</t>
    </r>
    <r>
      <rPr>
        <b/>
        <sz val="11"/>
        <color theme="0"/>
        <rFont val="Calibri"/>
        <family val="2"/>
      </rPr>
      <t xml:space="preserve">
typically 1/e (≈37%)</t>
    </r>
  </si>
  <si>
    <t>NOTES:</t>
  </si>
  <si>
    <r>
      <t>I / I</t>
    </r>
    <r>
      <rPr>
        <b/>
        <vertAlign val="subscript"/>
        <sz val="11"/>
        <color theme="0"/>
        <rFont val="Calibri"/>
        <family val="2"/>
        <scheme val="minor"/>
      </rPr>
      <t>0</t>
    </r>
    <r>
      <rPr>
        <b/>
        <sz val="11"/>
        <color theme="0"/>
        <rFont val="Calibri"/>
        <family val="2"/>
        <scheme val="minor"/>
      </rPr>
      <t xml:space="preserve"> incident beam</t>
    </r>
  </si>
  <si>
    <r>
      <t>path length 
after I/I</t>
    </r>
    <r>
      <rPr>
        <b/>
        <vertAlign val="subscript"/>
        <sz val="11"/>
        <color theme="0"/>
        <rFont val="Calibri"/>
        <family val="2"/>
        <scheme val="minor"/>
      </rPr>
      <t xml:space="preserve">0
</t>
    </r>
    <r>
      <rPr>
        <b/>
        <sz val="11"/>
        <color theme="0"/>
        <rFont val="Calibri"/>
        <family val="2"/>
        <scheme val="minor"/>
      </rPr>
      <t>incid. beam</t>
    </r>
  </si>
  <si>
    <t xml:space="preserve">path length 
of diffr. beam
start angle </t>
  </si>
  <si>
    <t xml:space="preserve">path length 
of diffr. beam
end angle </t>
  </si>
  <si>
    <t>GIXRD</t>
  </si>
  <si>
    <t>Theta-2Theta</t>
  </si>
  <si>
    <t>µ/ρ 5</t>
  </si>
  <si>
    <t>µ/ρ 6</t>
  </si>
  <si>
    <t>µ/ρ 7</t>
  </si>
  <si>
    <t>µ/ρ 8</t>
  </si>
  <si>
    <t>µ/ρ 9</t>
  </si>
  <si>
    <t>µ/ρ 10</t>
  </si>
  <si>
    <r>
      <t>2</t>
    </r>
    <r>
      <rPr>
        <b/>
        <sz val="12"/>
        <color theme="0"/>
        <rFont val="Calibri"/>
        <family val="2"/>
      </rPr>
      <t>Θ(max)</t>
    </r>
    <r>
      <rPr>
        <b/>
        <sz val="12"/>
        <color theme="0"/>
        <rFont val="Calibri"/>
        <family val="2"/>
        <scheme val="minor"/>
      </rPr>
      <t xml:space="preserve"> &gt; 2Θ(min) !</t>
    </r>
  </si>
  <si>
    <r>
      <rPr>
        <b/>
        <sz val="12"/>
        <color theme="0"/>
        <rFont val="Calibri"/>
        <family val="2"/>
        <scheme val="minor"/>
      </rPr>
      <t>2</t>
    </r>
    <r>
      <rPr>
        <b/>
        <sz val="12"/>
        <color theme="0"/>
        <rFont val="Calibri"/>
        <family val="2"/>
      </rPr>
      <t>Θ(min)</t>
    </r>
    <r>
      <rPr>
        <b/>
        <sz val="12"/>
        <color theme="0"/>
        <rFont val="Calibri"/>
        <family val="2"/>
        <scheme val="minor"/>
      </rPr>
      <t xml:space="preserve"> &gt; 0 !</t>
    </r>
  </si>
  <si>
    <r>
      <rPr>
        <b/>
        <sz val="12"/>
        <color theme="0"/>
        <rFont val="Calibri"/>
        <family val="2"/>
      </rPr>
      <t>detector below sample</t>
    </r>
    <r>
      <rPr>
        <b/>
        <sz val="12"/>
        <color theme="0"/>
        <rFont val="Calibri"/>
        <family val="2"/>
        <scheme val="minor"/>
      </rPr>
      <t xml:space="preserve"> !</t>
    </r>
  </si>
  <si>
    <r>
      <rPr>
        <b/>
        <sz val="12"/>
        <color theme="0"/>
        <rFont val="Calibri"/>
        <family val="2"/>
      </rPr>
      <t>ω</t>
    </r>
    <r>
      <rPr>
        <b/>
        <sz val="12"/>
        <color theme="0"/>
        <rFont val="Calibri"/>
        <family val="2"/>
        <scheme val="minor"/>
      </rPr>
      <t xml:space="preserve"> &gt; 0  !</t>
    </r>
  </si>
  <si>
    <r>
      <rPr>
        <b/>
        <sz val="12"/>
        <color theme="0"/>
        <rFont val="Calibri"/>
        <family val="2"/>
        <scheme val="minor"/>
      </rPr>
      <t>0 &lt; I/I</t>
    </r>
    <r>
      <rPr>
        <b/>
        <vertAlign val="subscript"/>
        <sz val="12"/>
        <color theme="0"/>
        <rFont val="Calibri"/>
        <family val="2"/>
        <scheme val="minor"/>
      </rPr>
      <t>0</t>
    </r>
    <r>
      <rPr>
        <b/>
        <sz val="12"/>
        <color theme="0"/>
        <rFont val="Calibri"/>
        <family val="2"/>
        <scheme val="minor"/>
      </rPr>
      <t xml:space="preserve"> &lt; 1 !</t>
    </r>
  </si>
  <si>
    <r>
      <rPr>
        <b/>
        <sz val="12"/>
        <color theme="0"/>
        <rFont val="Calibri"/>
        <family val="2"/>
      </rPr>
      <t>2Θ(min)</t>
    </r>
    <r>
      <rPr>
        <b/>
        <sz val="12"/>
        <color theme="0"/>
        <rFont val="Calibri"/>
        <family val="2"/>
        <scheme val="minor"/>
      </rPr>
      <t xml:space="preserve"> &lt; 2Θ(max) !</t>
    </r>
  </si>
  <si>
    <r>
      <t xml:space="preserve">0 &lt; p. </t>
    </r>
    <r>
      <rPr>
        <b/>
        <sz val="12"/>
        <color theme="0"/>
        <rFont val="Calibri"/>
        <family val="2"/>
      </rPr>
      <t>≤</t>
    </r>
    <r>
      <rPr>
        <b/>
        <sz val="12"/>
        <color theme="0"/>
        <rFont val="Calibri"/>
        <family val="2"/>
        <scheme val="minor"/>
      </rPr>
      <t xml:space="preserve"> 1 ! </t>
    </r>
  </si>
  <si>
    <r>
      <t>I / I</t>
    </r>
    <r>
      <rPr>
        <b/>
        <vertAlign val="subscript"/>
        <sz val="11"/>
        <color theme="0"/>
        <rFont val="Calibri"/>
        <family val="2"/>
        <scheme val="minor"/>
      </rPr>
      <t>0</t>
    </r>
    <r>
      <rPr>
        <b/>
        <sz val="11"/>
        <color theme="0"/>
        <rFont val="Calibri"/>
        <family val="2"/>
        <scheme val="minor"/>
      </rPr>
      <t xml:space="preserve"> exiting diffracted beam (start angle)</t>
    </r>
  </si>
  <si>
    <r>
      <t>I / I</t>
    </r>
    <r>
      <rPr>
        <b/>
        <vertAlign val="subscript"/>
        <sz val="11"/>
        <color theme="0"/>
        <rFont val="Calibri"/>
        <family val="2"/>
        <scheme val="minor"/>
      </rPr>
      <t>0</t>
    </r>
    <r>
      <rPr>
        <b/>
        <sz val="11"/>
        <color theme="0"/>
        <rFont val="Calibri"/>
        <family val="2"/>
        <scheme val="minor"/>
      </rPr>
      <t xml:space="preserve"> exiting diffracted beam (end angle)</t>
    </r>
  </si>
  <si>
    <t>depth
GIXRD</t>
  </si>
  <si>
    <r>
      <t>relative intensity vs. sample depth
for 2Theta start angle 2</t>
    </r>
    <r>
      <rPr>
        <sz val="11"/>
        <color theme="1"/>
        <rFont val="Calibri"/>
        <family val="2"/>
      </rPr>
      <t>Θ(min)</t>
    </r>
  </si>
  <si>
    <t>relative intensity vs. sample depth
for 2Theta end angle 2Θ(max)</t>
  </si>
  <si>
    <t xml:space="preserve">sample depth </t>
  </si>
  <si>
    <t>depth
Theta-2Theta
start angle</t>
  </si>
  <si>
    <t>sample depth 
(start angle)</t>
  </si>
  <si>
    <t>sample depth 
(end angle)</t>
  </si>
  <si>
    <t>depth
Theta-2Theta
end angle</t>
  </si>
  <si>
    <t xml:space="preserve">Information depth [µm]
</t>
  </si>
  <si>
    <t>Probing depth [µm]</t>
  </si>
  <si>
    <t>at start angle 2Θ(min)</t>
  </si>
  <si>
    <t>I / I0 incident beam</t>
  </si>
  <si>
    <t>path length 
after I/I0
incid. beam</t>
  </si>
  <si>
    <r>
      <t>I / I</t>
    </r>
    <r>
      <rPr>
        <vertAlign val="subscript"/>
        <sz val="11"/>
        <rFont val="Calibri"/>
        <family val="2"/>
        <scheme val="minor"/>
      </rPr>
      <t>0</t>
    </r>
    <r>
      <rPr>
        <sz val="11"/>
        <rFont val="Calibri"/>
        <family val="2"/>
        <scheme val="minor"/>
      </rPr>
      <t xml:space="preserve"> exiting diffracted beam (start angle)</t>
    </r>
  </si>
  <si>
    <t>FOR LOOKUP</t>
  </si>
  <si>
    <r>
      <t>I / I</t>
    </r>
    <r>
      <rPr>
        <vertAlign val="subscript"/>
        <sz val="11"/>
        <rFont val="Calibri"/>
        <family val="2"/>
        <scheme val="minor"/>
      </rPr>
      <t>0</t>
    </r>
    <r>
      <rPr>
        <sz val="11"/>
        <rFont val="Calibri"/>
        <family val="2"/>
        <scheme val="minor"/>
      </rPr>
      <t xml:space="preserve"> exiting diffracted beam (end angle)</t>
    </r>
  </si>
  <si>
    <r>
      <rPr>
        <b/>
        <sz val="22"/>
        <color theme="5" tint="0.79998168889431442"/>
        <rFont val="Wingdings 3"/>
        <family val="1"/>
        <charset val="2"/>
      </rPr>
      <t>u</t>
    </r>
    <r>
      <rPr>
        <b/>
        <sz val="22"/>
        <rFont val="Wingdings 3"/>
        <family val="1"/>
        <charset val="2"/>
      </rPr>
      <t xml:space="preserve">   </t>
    </r>
    <r>
      <rPr>
        <b/>
        <sz val="22"/>
        <color theme="5" tint="0.59999389629810485"/>
        <rFont val="Wingdings 3"/>
        <family val="1"/>
        <charset val="2"/>
      </rPr>
      <t>u</t>
    </r>
    <r>
      <rPr>
        <b/>
        <sz val="22"/>
        <rFont val="Wingdings 3"/>
        <family val="1"/>
        <charset val="2"/>
      </rPr>
      <t xml:space="preserve">   </t>
    </r>
    <r>
      <rPr>
        <b/>
        <sz val="22"/>
        <color theme="5" tint="0.39997558519241921"/>
        <rFont val="Wingdings 3"/>
        <family val="1"/>
        <charset val="2"/>
      </rPr>
      <t>u</t>
    </r>
    <r>
      <rPr>
        <b/>
        <sz val="22"/>
        <rFont val="Wingdings 3"/>
        <family val="1"/>
        <charset val="2"/>
      </rPr>
      <t xml:space="preserve">   </t>
    </r>
    <r>
      <rPr>
        <b/>
        <sz val="22"/>
        <color theme="5" tint="-0.249977111117893"/>
        <rFont val="Wingdings 3"/>
        <family val="1"/>
        <charset val="2"/>
      </rPr>
      <t>u</t>
    </r>
    <r>
      <rPr>
        <b/>
        <sz val="22"/>
        <rFont val="Wingdings 3"/>
        <family val="1"/>
        <charset val="2"/>
      </rPr>
      <t xml:space="preserve">   </t>
    </r>
    <r>
      <rPr>
        <b/>
        <sz val="22"/>
        <color theme="5" tint="-0.499984740745262"/>
        <rFont val="Wingdings 3"/>
        <family val="1"/>
        <charset val="2"/>
      </rPr>
      <t>u</t>
    </r>
    <r>
      <rPr>
        <b/>
        <sz val="22"/>
        <rFont val="Wingdings 3"/>
        <family val="1"/>
        <charset val="2"/>
      </rPr>
      <t xml:space="preserve">  </t>
    </r>
    <r>
      <rPr>
        <b/>
        <sz val="22"/>
        <rFont val="Calibri"/>
        <family val="2"/>
        <scheme val="minor"/>
      </rPr>
      <t xml:space="preserve">RESULTS          </t>
    </r>
    <r>
      <rPr>
        <b/>
        <sz val="22"/>
        <color theme="5" tint="-0.499984740745262"/>
        <rFont val="Wingdings 3"/>
        <family val="1"/>
        <charset val="2"/>
      </rPr>
      <t>t</t>
    </r>
    <r>
      <rPr>
        <b/>
        <sz val="22"/>
        <rFont val="Wingdings 3"/>
        <family val="1"/>
        <charset val="2"/>
      </rPr>
      <t xml:space="preserve">   </t>
    </r>
    <r>
      <rPr>
        <b/>
        <sz val="22"/>
        <color theme="5" tint="-0.249977111117893"/>
        <rFont val="Wingdings 3"/>
        <family val="1"/>
        <charset val="2"/>
      </rPr>
      <t>t</t>
    </r>
    <r>
      <rPr>
        <b/>
        <sz val="22"/>
        <rFont val="Wingdings 3"/>
        <family val="1"/>
        <charset val="2"/>
      </rPr>
      <t xml:space="preserve">   </t>
    </r>
    <r>
      <rPr>
        <b/>
        <sz val="22"/>
        <color theme="5" tint="0.39997558519241921"/>
        <rFont val="Wingdings 3"/>
        <family val="1"/>
        <charset val="2"/>
      </rPr>
      <t>t</t>
    </r>
    <r>
      <rPr>
        <b/>
        <sz val="22"/>
        <rFont val="Wingdings 3"/>
        <family val="1"/>
        <charset val="2"/>
      </rPr>
      <t xml:space="preserve">   </t>
    </r>
    <r>
      <rPr>
        <b/>
        <sz val="22"/>
        <color theme="5" tint="0.59999389629810485"/>
        <rFont val="Wingdings 3"/>
        <family val="1"/>
        <charset val="2"/>
      </rPr>
      <t>t</t>
    </r>
    <r>
      <rPr>
        <b/>
        <sz val="22"/>
        <rFont val="Wingdings 3"/>
        <family val="1"/>
        <charset val="2"/>
      </rPr>
      <t xml:space="preserve">   </t>
    </r>
    <r>
      <rPr>
        <b/>
        <sz val="22"/>
        <color theme="5" tint="0.79998168889431442"/>
        <rFont val="Wingdings 3"/>
        <family val="1"/>
        <charset val="2"/>
      </rPr>
      <t>t</t>
    </r>
  </si>
  <si>
    <t xml:space="preserve"> Theta-2Theta</t>
  </si>
  <si>
    <t>0 &lt; cut-off &lt; 100 !</t>
  </si>
  <si>
    <t>information depth for given
cut-off</t>
  </si>
  <si>
    <t>Path length [µm]</t>
  </si>
  <si>
    <t>(2.2 - 20 keV)</t>
  </si>
  <si>
    <t>µ/ρ 11</t>
  </si>
  <si>
    <t>µ/ρ 12</t>
  </si>
  <si>
    <t>X-ray Energy [keV]
(min = 3 keV, max = 20 keV)</t>
  </si>
  <si>
    <r>
      <rPr>
        <b/>
        <sz val="12"/>
        <color theme="0"/>
        <rFont val="Calibri"/>
        <family val="2"/>
        <scheme val="minor"/>
      </rPr>
      <t xml:space="preserve">3 </t>
    </r>
    <r>
      <rPr>
        <b/>
        <sz val="12"/>
        <color theme="0"/>
        <rFont val="Calibri"/>
        <family val="2"/>
      </rPr>
      <t>≤</t>
    </r>
    <r>
      <rPr>
        <b/>
        <sz val="12"/>
        <color theme="0"/>
        <rFont val="Calibri"/>
        <family val="2"/>
        <scheme val="minor"/>
      </rPr>
      <t xml:space="preserve"> E ≤ 20 !</t>
    </r>
    <r>
      <rPr>
        <b/>
        <sz val="11"/>
        <color theme="0"/>
        <rFont val="Calibri"/>
        <family val="2"/>
        <scheme val="minor"/>
      </rPr>
      <t xml:space="preserve"> </t>
    </r>
  </si>
  <si>
    <t>(2.0 - 20 keV)</t>
  </si>
  <si>
    <t>(2.3 - 20 keV)</t>
  </si>
  <si>
    <t>(2.4 - 20 keV)</t>
  </si>
  <si>
    <t>(2.5 - 20 keV)</t>
  </si>
  <si>
    <t>(2.6 - 20 keV)</t>
  </si>
  <si>
    <t>(2.7 - 20 keV)</t>
  </si>
  <si>
    <t>at end angle 2Θ(max)</t>
  </si>
  <si>
    <r>
      <t>2</t>
    </r>
    <r>
      <rPr>
        <b/>
        <sz val="12"/>
        <color theme="0"/>
        <rFont val="Calibri"/>
        <family val="2"/>
      </rPr>
      <t>Θ(max)</t>
    </r>
    <r>
      <rPr>
        <b/>
        <sz val="12"/>
        <color theme="0"/>
        <rFont val="Calibri"/>
        <family val="2"/>
        <scheme val="minor"/>
      </rPr>
      <t xml:space="preserve"> &lt; 180° !</t>
    </r>
  </si>
  <si>
    <t>Information depth
intensity cut-off [%]</t>
  </si>
  <si>
    <r>
      <t>Lin. abs. coeff. [cm</t>
    </r>
    <r>
      <rPr>
        <vertAlign val="superscript"/>
        <sz val="11"/>
        <color theme="0"/>
        <rFont val="Calibri"/>
        <family val="2"/>
        <scheme val="minor"/>
      </rPr>
      <t>-1</t>
    </r>
    <r>
      <rPr>
        <sz val="11"/>
        <color theme="0"/>
        <rFont val="Calibri"/>
        <family val="2"/>
        <scheme val="minor"/>
      </rPr>
      <t>]</t>
    </r>
  </si>
  <si>
    <r>
      <t>Eff. density 
[g cm</t>
    </r>
    <r>
      <rPr>
        <vertAlign val="superscript"/>
        <sz val="11"/>
        <color theme="0"/>
        <rFont val="Calibri"/>
        <family val="2"/>
        <scheme val="minor"/>
      </rPr>
      <t>-3</t>
    </r>
    <r>
      <rPr>
        <sz val="11"/>
        <color theme="0"/>
        <rFont val="Calibri"/>
        <family val="2"/>
        <scheme val="minor"/>
      </rPr>
      <t>]</t>
    </r>
  </si>
  <si>
    <t>Packing</t>
  </si>
  <si>
    <r>
      <t>Density 
[g cm</t>
    </r>
    <r>
      <rPr>
        <vertAlign val="superscript"/>
        <sz val="11"/>
        <color theme="0"/>
        <rFont val="Calibri"/>
        <family val="2"/>
        <scheme val="minor"/>
      </rPr>
      <t>-3</t>
    </r>
    <r>
      <rPr>
        <sz val="11"/>
        <color theme="0"/>
        <rFont val="Calibri"/>
        <family val="2"/>
        <scheme val="minor"/>
      </rPr>
      <t>]</t>
    </r>
  </si>
  <si>
    <r>
      <t>Unit cell volume [Å</t>
    </r>
    <r>
      <rPr>
        <b/>
        <vertAlign val="superscript"/>
        <sz val="11"/>
        <color theme="0"/>
        <rFont val="Calibri"/>
        <family val="2"/>
        <scheme val="minor"/>
      </rPr>
      <t>3</t>
    </r>
    <r>
      <rPr>
        <b/>
        <sz val="11"/>
        <color theme="0"/>
        <rFont val="Calibri"/>
        <family val="2"/>
        <scheme val="minor"/>
      </rPr>
      <t>]</t>
    </r>
  </si>
  <si>
    <t>Formula units/cell (Z)</t>
  </si>
  <si>
    <t>INCIDENCE ANGLE [°]</t>
  </si>
  <si>
    <t>INTENSITY CUT-OFF [%]</t>
  </si>
  <si>
    <t>END ANGLE 2Θ [°]</t>
  </si>
  <si>
    <t>START ANGLE 2Θ [°]</t>
  </si>
  <si>
    <r>
      <rPr>
        <b/>
        <sz val="14"/>
        <color rgb="FFFF0000"/>
        <rFont val="Wingdings 3"/>
        <family val="1"/>
        <charset val="2"/>
      </rPr>
      <t xml:space="preserve">u  u  u  </t>
    </r>
    <r>
      <rPr>
        <b/>
        <sz val="14"/>
        <color rgb="FFFF0000"/>
        <rFont val="Calibri"/>
        <family val="2"/>
        <scheme val="minor"/>
      </rPr>
      <t xml:space="preserve">Please mind the notes on methodical background, applicability, and principle limitations further below!         </t>
    </r>
    <r>
      <rPr>
        <b/>
        <sz val="14"/>
        <color rgb="FFFF0000"/>
        <rFont val="Wingdings 3"/>
        <family val="1"/>
        <charset val="2"/>
      </rPr>
      <t>t  t  t</t>
    </r>
  </si>
  <si>
    <t>XRD Probing Depth Calculator (2.2)</t>
  </si>
  <si>
    <r>
      <t xml:space="preserve">
This </t>
    </r>
    <r>
      <rPr>
        <b/>
        <sz val="12"/>
        <color theme="1"/>
        <rFont val="Calibri"/>
        <family val="2"/>
        <scheme val="minor"/>
      </rPr>
      <t>XRD PROBING DEPTH CALCULATOR</t>
    </r>
    <r>
      <rPr>
        <sz val="12"/>
        <color theme="1"/>
        <rFont val="Calibri"/>
        <family val="2"/>
        <scheme val="minor"/>
      </rPr>
      <t xml:space="preserve"> may be used to calculate the </t>
    </r>
    <r>
      <rPr>
        <sz val="12"/>
        <color rgb="FFC00000"/>
        <rFont val="Calibri"/>
        <family val="2"/>
        <scheme val="minor"/>
      </rPr>
      <t>attenuation length</t>
    </r>
    <r>
      <rPr>
        <sz val="12"/>
        <color theme="1"/>
        <rFont val="Calibri"/>
        <family val="2"/>
        <scheme val="minor"/>
      </rPr>
      <t xml:space="preserve"> of X-rays in a given material, and to deduce the resulting</t>
    </r>
    <r>
      <rPr>
        <sz val="12"/>
        <color rgb="FFC00000"/>
        <rFont val="Calibri"/>
        <family val="2"/>
        <scheme val="minor"/>
      </rPr>
      <t xml:space="preserve"> information depth</t>
    </r>
    <r>
      <rPr>
        <sz val="12"/>
        <color theme="1"/>
        <rFont val="Calibri"/>
        <family val="2"/>
        <scheme val="minor"/>
      </rPr>
      <t xml:space="preserve">. The </t>
    </r>
    <r>
      <rPr>
        <b/>
        <sz val="12"/>
        <color theme="1"/>
        <rFont val="Calibri"/>
        <family val="2"/>
        <scheme val="minor"/>
      </rPr>
      <t>XRD PROBING DEPTH CALCULATOR</t>
    </r>
    <r>
      <rPr>
        <sz val="12"/>
        <color theme="1"/>
        <rFont val="Calibri"/>
        <family val="2"/>
        <scheme val="minor"/>
      </rPr>
      <t xml:space="preserve"> has exclusively been developed for XRD experiments performed in </t>
    </r>
    <r>
      <rPr>
        <sz val="12"/>
        <color rgb="FFC00000"/>
        <rFont val="Calibri"/>
        <family val="2"/>
        <scheme val="minor"/>
      </rPr>
      <t>reflection geometry</t>
    </r>
    <r>
      <rPr>
        <sz val="12"/>
        <color theme="1"/>
        <rFont val="Calibri"/>
        <family val="2"/>
        <scheme val="minor"/>
      </rPr>
      <t xml:space="preserve"> - either asymmetric 2</t>
    </r>
    <r>
      <rPr>
        <sz val="12"/>
        <color theme="1"/>
        <rFont val="Calibri"/>
        <family val="2"/>
      </rPr>
      <t>Θ scan (GIXRD) or symmetric Θ-2Θ scan (e.g. Bragg-Brentano).</t>
    </r>
    <r>
      <rPr>
        <sz val="12"/>
        <color theme="1"/>
        <rFont val="Calibri"/>
        <family val="2"/>
        <scheme val="minor"/>
      </rPr>
      <t xml:space="preserve"> It is applicable to </t>
    </r>
    <r>
      <rPr>
        <sz val="12"/>
        <color rgb="FFC00000"/>
        <rFont val="Calibri"/>
        <family val="2"/>
        <scheme val="minor"/>
      </rPr>
      <t>X-ray energies ranging from 3 keV to 20 keV</t>
    </r>
    <r>
      <rPr>
        <sz val="12"/>
        <color theme="1"/>
        <rFont val="Calibri"/>
        <family val="2"/>
        <scheme val="minor"/>
      </rPr>
      <t xml:space="preserve"> and essentially to </t>
    </r>
    <r>
      <rPr>
        <sz val="12"/>
        <color rgb="FFC00000"/>
        <rFont val="Calibri"/>
        <family val="2"/>
        <scheme val="minor"/>
      </rPr>
      <t>every material/composition</t>
    </r>
    <r>
      <rPr>
        <sz val="12"/>
        <color theme="1"/>
        <rFont val="Calibri"/>
        <family val="2"/>
        <scheme val="minor"/>
      </rPr>
      <t xml:space="preserve"> (except those containing actinides). 
The probing depth corresponds to the depth along the sample's normal where the</t>
    </r>
    <r>
      <rPr>
        <sz val="12"/>
        <color rgb="FFC00000"/>
        <rFont val="Calibri"/>
        <family val="2"/>
        <scheme val="minor"/>
      </rPr>
      <t xml:space="preserve"> intensity has dropped to 1/e (I/I</t>
    </r>
    <r>
      <rPr>
        <vertAlign val="subscript"/>
        <sz val="12"/>
        <color rgb="FFC00000"/>
        <rFont val="Calibri"/>
        <family val="2"/>
        <scheme val="minor"/>
      </rPr>
      <t>0</t>
    </r>
    <r>
      <rPr>
        <sz val="12"/>
        <color rgb="FFC00000"/>
        <rFont val="Calibri"/>
        <family val="2"/>
        <scheme val="minor"/>
      </rPr>
      <t>≈ 0.368 → attenuation length)</t>
    </r>
    <r>
      <rPr>
        <sz val="12"/>
        <color theme="1"/>
        <rFont val="Calibri"/>
        <family val="2"/>
        <scheme val="minor"/>
      </rPr>
      <t xml:space="preserve"> of its value at the surface, and is depending on the material probed (density, optical properties) as well as on the incident angle and wavelength of the X-rays. The resulting depth is determined by the traversed path length at which the intensity has fallen to 1/e and by the incident angle employed during the measurement (depth = path length </t>
    </r>
    <r>
      <rPr>
        <sz val="12"/>
        <color theme="1"/>
        <rFont val="Calibri"/>
        <family val="2"/>
      </rPr>
      <t xml:space="preserve">· sin(ω or Θ)). </t>
    </r>
    <r>
      <rPr>
        <sz val="12"/>
        <color theme="1"/>
        <rFont val="Calibri"/>
        <family val="2"/>
        <scheme val="minor"/>
      </rPr>
      <t>The term "</t>
    </r>
    <r>
      <rPr>
        <sz val="12"/>
        <color rgb="FFC00000"/>
        <rFont val="Calibri"/>
        <family val="2"/>
        <scheme val="minor"/>
      </rPr>
      <t>probing depth</t>
    </r>
    <r>
      <rPr>
        <sz val="12"/>
        <color theme="1"/>
        <rFont val="Calibri"/>
        <family val="2"/>
        <scheme val="minor"/>
      </rPr>
      <t xml:space="preserve">", however, is somewhat </t>
    </r>
    <r>
      <rPr>
        <sz val="12"/>
        <color rgb="FFC00000"/>
        <rFont val="Calibri"/>
        <family val="2"/>
        <scheme val="minor"/>
      </rPr>
      <t>misleading</t>
    </r>
    <r>
      <rPr>
        <sz val="12"/>
        <color theme="1"/>
        <rFont val="Calibri"/>
        <family val="2"/>
        <scheme val="minor"/>
      </rPr>
      <t xml:space="preserve"> as it implies a precisely tunable depth that can be probed - just by varying the angle of the incident X-ray beam. An obvious flaw of this approach is the consideration of the primary (incident) X-ray beam only whereas the fate of the diffracted X-rays is ignored completely. 
The intensity of the diffracted X-ray beam at the position of each diffraction event is a function of the covered path length of the primary X-ray beam in a given material (i.e. its remaining intensity that results from the linear attenuation when traversing a medium with an electron density &gt; 0). The intensity of the diffracted beam upon exiting the sample at the surface is depending on the taken path length from the point of its origin at a certain depth towards the sample's surface, and is hence a function of the diffraction angle too. This eventually enables linking sample depths with their respective relative contribution to the recorded diffraction pattern and is referred to as </t>
    </r>
    <r>
      <rPr>
        <sz val="12"/>
        <color rgb="FFC00000"/>
        <rFont val="Calibri"/>
        <family val="2"/>
        <scheme val="minor"/>
      </rPr>
      <t>(significant) information depth</t>
    </r>
    <r>
      <rPr>
        <sz val="12"/>
        <color theme="1"/>
        <rFont val="Calibri"/>
        <family val="2"/>
        <scheme val="minor"/>
      </rPr>
      <t xml:space="preserve">. 
Although the estimated information depth can be considered more reliable in predicting the vertical volume range that contributes to the XRD pattern than just the attenuation length ("probing depth"), it must be kept in mind that it's generally impossible to precisely calculate information/probing depths. The intensity cut-off to be chosen for calculating the (supposedly significant) information depth remains a matter of arbitrariness, specifically as it will additionally be influenced by other parameters, as for instance packing density (pores, voids) of the material to be investigated, crystallographic texture, scan duration, etc. </t>
    </r>
    <r>
      <rPr>
        <sz val="12"/>
        <rFont val="Calibri"/>
        <family val="2"/>
        <scheme val="minor"/>
      </rPr>
      <t>A</t>
    </r>
    <r>
      <rPr>
        <sz val="12"/>
        <color rgb="FFC00000"/>
        <rFont val="Calibri"/>
        <family val="2"/>
        <scheme val="minor"/>
      </rPr>
      <t xml:space="preserve"> cut-off value of 10%</t>
    </r>
    <r>
      <rPr>
        <sz val="12"/>
        <color theme="1"/>
        <rFont val="Calibri"/>
        <family val="2"/>
        <scheme val="minor"/>
      </rPr>
      <t xml:space="preserve"> might be a reasonable number to start with but empirical data from (comparable) samples with known layer thicknesses and cross-sectional element distribution are needed for more reliability. 
It is important to note that the</t>
    </r>
    <r>
      <rPr>
        <sz val="12"/>
        <color rgb="FFC00000"/>
        <rFont val="Calibri"/>
        <family val="2"/>
        <scheme val="minor"/>
      </rPr>
      <t xml:space="preserve"> largest contribution</t>
    </r>
    <r>
      <rPr>
        <sz val="12"/>
        <color theme="1"/>
        <rFont val="Calibri"/>
        <family val="2"/>
        <scheme val="minor"/>
      </rPr>
      <t xml:space="preserve"> </t>
    </r>
    <r>
      <rPr>
        <sz val="12"/>
        <color rgb="FFC00000"/>
        <rFont val="Calibri"/>
        <family val="2"/>
        <scheme val="minor"/>
      </rPr>
      <t>always comes from the topmost region</t>
    </r>
    <r>
      <rPr>
        <sz val="12"/>
        <color theme="1"/>
        <rFont val="Calibri"/>
        <family val="2"/>
        <scheme val="minor"/>
      </rPr>
      <t xml:space="preserve"> (more events of interaction like absorption and diffraction are occuring in the uppermost volume where the primary beam intensity is highest) and exponentially decreases as the X-ray beam travels deeper into the material. This behavior is graphically displayed both for </t>
    </r>
    <r>
      <rPr>
        <sz val="12"/>
        <color rgb="FFC00000"/>
        <rFont val="Calibri"/>
        <family val="2"/>
        <scheme val="minor"/>
      </rPr>
      <t>asymmetric scan geometry</t>
    </r>
    <r>
      <rPr>
        <sz val="12"/>
        <color theme="1"/>
        <rFont val="Calibri"/>
        <family val="2"/>
        <scheme val="minor"/>
      </rPr>
      <t xml:space="preserve"> (</t>
    </r>
    <r>
      <rPr>
        <b/>
        <sz val="12"/>
        <color theme="7"/>
        <rFont val="Calibri"/>
        <family val="2"/>
        <scheme val="minor"/>
      </rPr>
      <t>GIXRD</t>
    </r>
    <r>
      <rPr>
        <sz val="12"/>
        <color theme="1"/>
        <rFont val="Calibri"/>
        <family val="2"/>
        <scheme val="minor"/>
      </rPr>
      <t xml:space="preserve">) as well as for </t>
    </r>
    <r>
      <rPr>
        <sz val="12"/>
        <color rgb="FFC00000"/>
        <rFont val="Calibri"/>
        <family val="2"/>
        <scheme val="minor"/>
      </rPr>
      <t>symmetric scan geometry</t>
    </r>
    <r>
      <rPr>
        <sz val="12"/>
        <color theme="1"/>
        <rFont val="Calibri"/>
        <family val="2"/>
        <scheme val="minor"/>
      </rPr>
      <t xml:space="preserve"> (</t>
    </r>
    <r>
      <rPr>
        <b/>
        <sz val="12"/>
        <color theme="9" tint="-0.249977111117893"/>
        <rFont val="Calibri"/>
        <family val="2"/>
        <scheme val="minor"/>
      </rPr>
      <t>Theta-2Theta</t>
    </r>
    <r>
      <rPr>
        <sz val="12"/>
        <color theme="1"/>
        <rFont val="Calibri"/>
        <family val="2"/>
        <scheme val="minor"/>
      </rPr>
      <t xml:space="preserve">), each </t>
    </r>
    <r>
      <rPr>
        <sz val="12"/>
        <color rgb="FFC00000"/>
        <rFont val="Calibri"/>
        <family val="2"/>
        <scheme val="minor"/>
      </rPr>
      <t>differentiating among 2Θ start angle and 2Θ end angle</t>
    </r>
    <r>
      <rPr>
        <sz val="12"/>
        <color theme="1"/>
        <rFont val="Calibri"/>
        <family val="2"/>
        <scheme val="minor"/>
      </rPr>
      <t xml:space="preserve">, respectively. By using various incidence angles for enabling </t>
    </r>
    <r>
      <rPr>
        <sz val="12"/>
        <color rgb="FFC00000"/>
        <rFont val="Calibri"/>
        <family val="2"/>
        <scheme val="minor"/>
      </rPr>
      <t>XRD depth profiling</t>
    </r>
    <r>
      <rPr>
        <sz val="12"/>
        <color theme="1"/>
        <rFont val="Calibri"/>
        <family val="2"/>
        <scheme val="minor"/>
      </rPr>
      <t xml:space="preserve"> it is only possible to successively reach deeper sample volumes, with the relative intensity contribution of the material above the estimated information depth being still considerable or even predominant (unless volume effects or contrast in scattering power become significant). The only way to </t>
    </r>
    <r>
      <rPr>
        <sz val="12"/>
        <color rgb="FFC00000"/>
        <rFont val="Calibri"/>
        <family val="2"/>
        <scheme val="minor"/>
      </rPr>
      <t>truly enable depth-resolved XRD analysis</t>
    </r>
    <r>
      <rPr>
        <sz val="12"/>
        <color theme="1"/>
        <rFont val="Calibri"/>
        <family val="2"/>
        <scheme val="minor"/>
      </rPr>
      <t xml:space="preserve"> is given by the </t>
    </r>
    <r>
      <rPr>
        <sz val="12"/>
        <color rgb="FFC00000"/>
        <rFont val="Calibri"/>
        <family val="2"/>
        <scheme val="minor"/>
      </rPr>
      <t>removal of the upper sample layer</t>
    </r>
    <r>
      <rPr>
        <sz val="12"/>
        <color theme="1"/>
        <rFont val="Calibri"/>
        <family val="2"/>
        <scheme val="minor"/>
      </rPr>
      <t xml:space="preserve"> after each GIXRD experiment for reaching deeper volumes while avoiding contribution of the already measured volume above.
The utilized data on element-specific </t>
    </r>
    <r>
      <rPr>
        <sz val="12"/>
        <color rgb="FFC00000"/>
        <rFont val="Calibri"/>
        <family val="2"/>
        <scheme val="minor"/>
      </rPr>
      <t>mass attenuation coefficients</t>
    </r>
    <r>
      <rPr>
        <sz val="12"/>
        <color theme="1"/>
        <rFont val="Calibri"/>
        <family val="2"/>
        <scheme val="minor"/>
      </rPr>
      <t xml:space="preserve"> (</t>
    </r>
    <r>
      <rPr>
        <sz val="12"/>
        <color theme="1"/>
        <rFont val="Calibri"/>
        <family val="2"/>
      </rPr>
      <t>μ/ρ)</t>
    </r>
    <r>
      <rPr>
        <sz val="12"/>
        <color theme="1"/>
        <rFont val="Calibri"/>
        <family val="2"/>
        <scheme val="minor"/>
      </rPr>
      <t xml:space="preserve"> for the energy range between 3 keV and 20 keV were retrieved from the corresponding </t>
    </r>
    <r>
      <rPr>
        <sz val="12"/>
        <color rgb="FFC00000"/>
        <rFont val="Calibri"/>
        <family val="2"/>
        <scheme val="minor"/>
      </rPr>
      <t>NIST</t>
    </r>
    <r>
      <rPr>
        <sz val="12"/>
        <color theme="1"/>
        <rFont val="Calibri"/>
        <family val="2"/>
        <scheme val="minor"/>
      </rPr>
      <t xml:space="preserve"> webpage (</t>
    </r>
    <r>
      <rPr>
        <sz val="12"/>
        <color rgb="FF0000FF"/>
        <rFont val="Calibri"/>
        <family val="2"/>
        <scheme val="minor"/>
      </rPr>
      <t>https://physics.nist.gov/PhysRefData/FFast/html/form.html</t>
    </r>
    <r>
      <rPr>
        <sz val="12"/>
        <color theme="1"/>
        <rFont val="Calibri"/>
        <family val="2"/>
        <scheme val="minor"/>
      </rPr>
      <t>). For each chemical element the μ/ρ vs. Energy graph was subdivided into continuous segments and fitted using polynomial (3</t>
    </r>
    <r>
      <rPr>
        <vertAlign val="superscript"/>
        <sz val="12"/>
        <color theme="1"/>
        <rFont val="Calibri"/>
        <family val="2"/>
        <scheme val="minor"/>
      </rPr>
      <t>rd</t>
    </r>
    <r>
      <rPr>
        <sz val="12"/>
        <color theme="1"/>
        <rFont val="Calibri"/>
        <family val="2"/>
        <scheme val="minor"/>
      </rPr>
      <t xml:space="preserve"> and 5</t>
    </r>
    <r>
      <rPr>
        <vertAlign val="superscript"/>
        <sz val="12"/>
        <color theme="1"/>
        <rFont val="Calibri"/>
        <family val="2"/>
        <scheme val="minor"/>
      </rPr>
      <t>th</t>
    </r>
    <r>
      <rPr>
        <sz val="12"/>
        <color theme="1"/>
        <rFont val="Calibri"/>
        <family val="2"/>
        <scheme val="minor"/>
      </rPr>
      <t xml:space="preserve"> order) or, whenever applicable, linear functions. The number of occurrences of discontinuities (i.e. electron transitions/absorption edges in the selected energy range) determined the number of segments to be fitted individually (resulting in up to 12 functions for the heavier chemical elements). Calculations of path (attenuation) lengths, probing or infomation depths, respectively, are based on </t>
    </r>
    <r>
      <rPr>
        <sz val="12"/>
        <color rgb="FFC00000"/>
        <rFont val="Calibri"/>
        <family val="2"/>
        <scheme val="minor"/>
      </rPr>
      <t>(Bouguer-)Beer-Lambert law</t>
    </r>
    <r>
      <rPr>
        <sz val="12"/>
        <color theme="1"/>
        <rFont val="Calibri"/>
        <family val="2"/>
        <scheme val="minor"/>
      </rPr>
      <t xml:space="preserve">. Methodically this </t>
    </r>
    <r>
      <rPr>
        <b/>
        <sz val="12"/>
        <color theme="1"/>
        <rFont val="Calibri"/>
        <family val="2"/>
        <scheme val="minor"/>
      </rPr>
      <t>XRD PROBING DEPTH CALCULATOR</t>
    </r>
    <r>
      <rPr>
        <sz val="12"/>
        <color theme="1"/>
        <rFont val="Calibri"/>
        <family val="2"/>
        <scheme val="minor"/>
      </rPr>
      <t xml:space="preserve">, specifically the concept of </t>
    </r>
    <r>
      <rPr>
        <sz val="12"/>
        <color rgb="FFC00000"/>
        <rFont val="Calibri"/>
        <family val="2"/>
        <scheme val="minor"/>
      </rPr>
      <t>significant information depth</t>
    </r>
    <r>
      <rPr>
        <sz val="12"/>
        <color theme="1"/>
        <rFont val="Calibri"/>
        <family val="2"/>
        <scheme val="minor"/>
      </rPr>
      <t>, has largely been inspired by the</t>
    </r>
    <r>
      <rPr>
        <sz val="12"/>
        <color rgb="FFC00000"/>
        <rFont val="Calibri"/>
        <family val="2"/>
        <scheme val="minor"/>
      </rPr>
      <t xml:space="preserve"> article authored by W. Wisniewski et al.</t>
    </r>
    <r>
      <rPr>
        <sz val="12"/>
        <color theme="1"/>
        <rFont val="Calibri"/>
        <family val="2"/>
        <scheme val="minor"/>
      </rPr>
      <t xml:space="preserve"> (</t>
    </r>
    <r>
      <rPr>
        <i/>
        <sz val="12"/>
        <color theme="1"/>
        <rFont val="Calibri"/>
        <family val="2"/>
        <scheme val="minor"/>
      </rPr>
      <t>Wisniewski, Wolfgang, et al. "Experimental evidence concerning the significant information depth of X-ray diffraction (XRD) in the Bragg-Brentano configuration." Powder Diffraction 38.2 (2023): 139-144</t>
    </r>
    <r>
      <rPr>
        <sz val="12"/>
        <color theme="1"/>
        <rFont val="Calibri"/>
        <family val="2"/>
        <scheme val="minor"/>
      </rPr>
      <t>).
The</t>
    </r>
    <r>
      <rPr>
        <b/>
        <sz val="12"/>
        <color theme="1"/>
        <rFont val="Calibri"/>
        <family val="2"/>
        <scheme val="minor"/>
      </rPr>
      <t xml:space="preserve"> XRD PROBING DEPTH CALCULATOR</t>
    </r>
    <r>
      <rPr>
        <sz val="12"/>
        <color theme="1"/>
        <rFont val="Calibri"/>
        <family val="2"/>
        <scheme val="minor"/>
      </rPr>
      <t xml:space="preserve"> was created by R. Schwiddessen. Questions, problems, or suggestions for improvements may be sent to: </t>
    </r>
    <r>
      <rPr>
        <b/>
        <sz val="12"/>
        <color theme="1"/>
        <rFont val="Calibri"/>
        <family val="2"/>
        <scheme val="minor"/>
      </rPr>
      <t>rene.schwiddessen@helmholtz-berlin.de</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</si>
</sst>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00"/>
    <numFmt numFmtId="166" formatCode="0.000"/>
    <numFmt numFmtId="167" formatCode="0.0"/>
    <numFmt numFmtId="168" formatCode="0.0000000E+00"/>
  </numFmts>
  <fonts count="55">
    <font>
      <sz val="11"/>
      <color theme="1"/>
      <name val="Calibri"/>
      <family val="2"/>
      <scheme val="minor"/>
    </font>
    <font>
      <b/>
      <sz val="11"/>
      <color theme="1"/>
      <name val="Calibri"/>
      <family val="2"/>
      <scheme val="minor"/>
    </font>
    <font>
      <sz val="10"/>
      <name val="Arial"/>
      <family val="2"/>
    </font>
    <font>
      <sz val="11"/>
      <color rgb="FF9C6500"/>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vertAlign val="superscript"/>
      <sz val="11"/>
      <color theme="0"/>
      <name val="Calibri"/>
      <family val="2"/>
      <scheme val="minor"/>
    </font>
    <font>
      <b/>
      <sz val="11"/>
      <color theme="0"/>
      <name val="Calibri"/>
      <family val="2"/>
    </font>
    <font>
      <b/>
      <vertAlign val="superscript"/>
      <sz val="11"/>
      <color theme="0"/>
      <name val="Calibri"/>
      <family val="2"/>
    </font>
    <font>
      <sz val="11"/>
      <color rgb="FF3F3F3F"/>
      <name val="Calibri"/>
      <family val="2"/>
      <scheme val="minor"/>
    </font>
    <font>
      <b/>
      <sz val="20"/>
      <color rgb="FF3F3F3F"/>
      <name val="Calibri"/>
      <family val="2"/>
      <scheme val="minor"/>
    </font>
    <font>
      <sz val="11"/>
      <color theme="0"/>
      <name val="Calibri"/>
      <family val="2"/>
      <scheme val="minor"/>
    </font>
    <font>
      <b/>
      <sz val="11"/>
      <name val="Calibri"/>
      <family val="2"/>
      <scheme val="minor"/>
    </font>
    <font>
      <sz val="36"/>
      <color theme="0" tint="-4.9989318521683403E-2"/>
      <name val="Calibri"/>
      <family val="2"/>
      <scheme val="minor"/>
    </font>
    <font>
      <b/>
      <sz val="11"/>
      <name val="Calibri"/>
      <family val="2"/>
    </font>
    <font>
      <b/>
      <vertAlign val="subscript"/>
      <sz val="11"/>
      <color theme="0"/>
      <name val="Calibri"/>
      <family val="2"/>
      <scheme val="minor"/>
    </font>
    <font>
      <b/>
      <sz val="20"/>
      <color theme="1"/>
      <name val="Calibri"/>
      <family val="2"/>
      <scheme val="minor"/>
    </font>
    <font>
      <vertAlign val="superscript"/>
      <sz val="11"/>
      <color theme="0"/>
      <name val="Calibri"/>
      <family val="2"/>
      <scheme val="minor"/>
    </font>
    <font>
      <sz val="20"/>
      <color theme="0"/>
      <name val="Calibri"/>
      <family val="2"/>
      <scheme val="minor"/>
    </font>
    <font>
      <i/>
      <sz val="20"/>
      <color theme="0"/>
      <name val="Calibri"/>
      <family val="2"/>
      <scheme val="minor"/>
    </font>
    <font>
      <b/>
      <vertAlign val="superscript"/>
      <sz val="11"/>
      <color theme="1"/>
      <name val="Calibri"/>
      <family val="2"/>
      <scheme val="minor"/>
    </font>
    <font>
      <b/>
      <vertAlign val="subscript"/>
      <sz val="11"/>
      <color theme="0"/>
      <name val="Calibri"/>
      <family val="2"/>
    </font>
    <font>
      <b/>
      <sz val="22"/>
      <name val="Calibri"/>
      <family val="2"/>
      <scheme val="minor"/>
    </font>
    <font>
      <b/>
      <sz val="22"/>
      <name val="Wingdings 3"/>
      <family val="1"/>
      <charset val="2"/>
    </font>
    <font>
      <b/>
      <sz val="22"/>
      <name val="Calibri"/>
      <family val="1"/>
      <charset val="2"/>
      <scheme val="minor"/>
    </font>
    <font>
      <b/>
      <sz val="14"/>
      <color rgb="FFFF0000"/>
      <name val="Calibri"/>
      <family val="2"/>
      <scheme val="minor"/>
    </font>
    <font>
      <b/>
      <sz val="12"/>
      <color theme="0"/>
      <name val="Calibri"/>
      <family val="2"/>
      <scheme val="minor"/>
    </font>
    <font>
      <b/>
      <vertAlign val="subscript"/>
      <sz val="12"/>
      <color theme="0"/>
      <name val="Calibri"/>
      <family val="2"/>
      <scheme val="minor"/>
    </font>
    <font>
      <b/>
      <sz val="12"/>
      <color theme="0"/>
      <name val="Calibri"/>
      <family val="2"/>
    </font>
    <font>
      <sz val="11"/>
      <color theme="1"/>
      <name val="Calibri"/>
      <family val="2"/>
    </font>
    <font>
      <b/>
      <sz val="14"/>
      <color rgb="FFFF0000"/>
      <name val="Wingdings 3"/>
      <family val="1"/>
      <charset val="2"/>
    </font>
    <font>
      <b/>
      <sz val="14"/>
      <color rgb="FFFF0000"/>
      <name val="Calibri"/>
      <family val="1"/>
      <charset val="2"/>
      <scheme val="minor"/>
    </font>
    <font>
      <b/>
      <sz val="32"/>
      <color theme="1"/>
      <name val="Calibri"/>
      <family val="2"/>
      <scheme val="minor"/>
    </font>
    <font>
      <vertAlign val="subscript"/>
      <sz val="11"/>
      <name val="Calibri"/>
      <family val="2"/>
      <scheme val="minor"/>
    </font>
    <font>
      <b/>
      <sz val="22"/>
      <color theme="5" tint="0.79998168889431442"/>
      <name val="Wingdings 3"/>
      <family val="1"/>
      <charset val="2"/>
    </font>
    <font>
      <b/>
      <sz val="22"/>
      <color theme="5" tint="0.59999389629810485"/>
      <name val="Wingdings 3"/>
      <family val="1"/>
      <charset val="2"/>
    </font>
    <font>
      <b/>
      <sz val="22"/>
      <color theme="5" tint="0.39997558519241921"/>
      <name val="Wingdings 3"/>
      <family val="1"/>
      <charset val="2"/>
    </font>
    <font>
      <b/>
      <sz val="22"/>
      <color theme="5" tint="-0.249977111117893"/>
      <name val="Wingdings 3"/>
      <family val="1"/>
      <charset val="2"/>
    </font>
    <font>
      <b/>
      <sz val="22"/>
      <color theme="5" tint="-0.499984740745262"/>
      <name val="Wingdings 3"/>
      <family val="1"/>
      <charset val="2"/>
    </font>
    <font>
      <b/>
      <sz val="32"/>
      <name val="Calibri"/>
      <family val="2"/>
      <scheme val="minor"/>
    </font>
    <font>
      <b/>
      <sz val="11"/>
      <color rgb="FFFF0000"/>
      <name val="Calibri"/>
      <family val="2"/>
      <scheme val="minor"/>
    </font>
    <font>
      <sz val="12"/>
      <color theme="1"/>
      <name val="Calibri"/>
      <family val="2"/>
      <scheme val="minor"/>
    </font>
    <font>
      <sz val="12"/>
      <color theme="1"/>
      <name val="Calibri"/>
      <family val="2"/>
    </font>
    <font>
      <i/>
      <sz val="12"/>
      <color theme="1"/>
      <name val="Calibri"/>
      <family val="2"/>
      <scheme val="minor"/>
    </font>
    <font>
      <vertAlign val="superscript"/>
      <sz val="12"/>
      <color theme="1"/>
      <name val="Calibri"/>
      <family val="2"/>
      <scheme val="minor"/>
    </font>
    <font>
      <b/>
      <sz val="12"/>
      <color theme="1"/>
      <name val="Calibri"/>
      <family val="2"/>
      <scheme val="minor"/>
    </font>
    <font>
      <sz val="12"/>
      <name val="Calibri"/>
      <family val="2"/>
      <scheme val="minor"/>
    </font>
    <font>
      <sz val="12"/>
      <color rgb="FFC00000"/>
      <name val="Calibri"/>
      <family val="2"/>
      <scheme val="minor"/>
    </font>
    <font>
      <vertAlign val="subscript"/>
      <sz val="12"/>
      <color rgb="FFC00000"/>
      <name val="Calibri"/>
      <family val="2"/>
      <scheme val="minor"/>
    </font>
    <font>
      <b/>
      <sz val="12"/>
      <color theme="7"/>
      <name val="Calibri"/>
      <family val="2"/>
      <scheme val="minor"/>
    </font>
    <font>
      <b/>
      <sz val="12"/>
      <color theme="9" tint="-0.249977111117893"/>
      <name val="Calibri"/>
      <family val="2"/>
      <scheme val="minor"/>
    </font>
    <font>
      <sz val="12"/>
      <color rgb="FF0000FF"/>
      <name val="Calibri"/>
      <family val="2"/>
      <scheme val="minor"/>
    </font>
    <font>
      <b/>
      <sz val="22"/>
      <color theme="1"/>
      <name val="Calibri"/>
      <family val="2"/>
      <scheme val="minor"/>
    </font>
  </fonts>
  <fills count="29">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theme="1"/>
        <bgColor indexed="64"/>
      </patternFill>
    </fill>
    <fill>
      <patternFill patternType="darkUp">
        <bgColor rgb="FFF2F2F2"/>
      </patternFill>
    </fill>
    <fill>
      <patternFill patternType="solid">
        <fgColor theme="0"/>
        <bgColor indexed="64"/>
      </patternFill>
    </fill>
    <fill>
      <patternFill patternType="solid">
        <fgColor theme="0" tint="-4.9989318521683403E-2"/>
        <bgColor indexed="64"/>
      </patternFill>
    </fill>
    <fill>
      <patternFill patternType="darkUp">
        <bgColor theme="8" tint="-0.249977111117893"/>
      </patternFill>
    </fill>
    <fill>
      <gradientFill type="path" left="0.5" right="0.5" top="0.5" bottom="0.5">
        <stop position="0">
          <color rgb="FFFF0000"/>
        </stop>
        <stop position="1">
          <color rgb="FFFFC000"/>
        </stop>
      </gradientFill>
    </fill>
    <fill>
      <patternFill patternType="solid">
        <fgColor theme="1" tint="0.499984740745262"/>
        <bgColor indexed="64"/>
      </patternFill>
    </fill>
    <fill>
      <gradientFill type="path" left="0.5" right="0.5" top="0.5" bottom="0.5">
        <stop position="0">
          <color theme="0"/>
        </stop>
        <stop position="1">
          <color rgb="FFFF0000"/>
        </stop>
      </gradientFill>
    </fill>
    <fill>
      <gradientFill degree="90">
        <stop position="0">
          <color rgb="FF00B0F0"/>
        </stop>
        <stop position="0.5">
          <color rgb="FFFFFF00"/>
        </stop>
        <stop position="1">
          <color rgb="FF00B0F0"/>
        </stop>
      </gradientFill>
    </fill>
    <fill>
      <gradientFill type="path" left="0.5" right="0.5" top="0.5" bottom="0.5">
        <stop position="0">
          <color theme="0" tint="-0.1490218817712943"/>
        </stop>
        <stop position="1">
          <color theme="7"/>
        </stop>
      </gradient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bgColor indexed="64"/>
      </patternFill>
    </fill>
    <fill>
      <patternFill patternType="solid">
        <fgColor theme="7" tint="0.39997558519241921"/>
        <bgColor indexed="64"/>
      </patternFill>
    </fill>
    <fill>
      <patternFill patternType="solid">
        <fgColor theme="7"/>
        <bgColor indexed="64"/>
      </patternFill>
    </fill>
  </fills>
  <borders count="4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theme="0"/>
      </right>
      <top/>
      <bottom style="thin">
        <color rgb="FF3F3F3F"/>
      </bottom>
      <diagonal/>
    </border>
    <border>
      <left/>
      <right style="thin">
        <color indexed="64"/>
      </right>
      <top/>
      <bottom/>
      <diagonal/>
    </border>
    <border>
      <left style="thin">
        <color theme="0"/>
      </left>
      <right style="thin">
        <color theme="0"/>
      </right>
      <top/>
      <bottom style="thin">
        <color rgb="FF3F3F3F"/>
      </bottom>
      <diagonal/>
    </border>
    <border>
      <left style="thin">
        <color theme="0"/>
      </left>
      <right/>
      <top/>
      <bottom style="thin">
        <color rgb="FF7F7F7F"/>
      </bottom>
      <diagonal/>
    </border>
    <border>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style="thin">
        <color rgb="FF3F3F3F"/>
      </top>
      <bottom style="medium">
        <color indexed="64"/>
      </bottom>
      <diagonal/>
    </border>
    <border>
      <left/>
      <right/>
      <top style="medium">
        <color theme="0"/>
      </top>
      <bottom style="medium">
        <color indexed="64"/>
      </bottom>
      <diagonal/>
    </border>
    <border>
      <left/>
      <right style="thin">
        <color theme="1"/>
      </right>
      <top/>
      <bottom style="medium">
        <color indexed="64"/>
      </bottom>
      <diagonal/>
    </border>
    <border>
      <left/>
      <right style="thin">
        <color theme="1"/>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theme="1"/>
      </left>
      <right/>
      <top style="thin">
        <color auto="1"/>
      </top>
      <bottom/>
      <diagonal/>
    </border>
    <border>
      <left/>
      <right style="thin">
        <color theme="1"/>
      </right>
      <top style="thin">
        <color auto="1"/>
      </top>
      <bottom/>
      <diagonal/>
    </border>
    <border>
      <left style="thin">
        <color theme="1"/>
      </left>
      <right/>
      <top/>
      <bottom style="medium">
        <color indexed="64"/>
      </bottom>
      <diagonal/>
    </border>
    <border>
      <left style="medium">
        <color indexed="64"/>
      </left>
      <right/>
      <top style="thin">
        <color auto="1"/>
      </top>
      <bottom/>
      <diagonal/>
    </border>
    <border>
      <left/>
      <right style="thin">
        <color indexed="64"/>
      </right>
      <top style="thin">
        <color auto="1"/>
      </top>
      <bottom/>
      <diagonal/>
    </border>
    <border>
      <left/>
      <right style="thin">
        <color indexed="64"/>
      </right>
      <top/>
      <bottom style="medium">
        <color indexed="64"/>
      </bottom>
      <diagonal/>
    </border>
    <border>
      <left style="thin">
        <color indexed="64"/>
      </left>
      <right/>
      <top style="thin">
        <color auto="1"/>
      </top>
      <bottom/>
      <diagonal/>
    </border>
    <border>
      <left style="thin">
        <color indexed="64"/>
      </left>
      <right/>
      <top/>
      <bottom style="medium">
        <color indexed="64"/>
      </bottom>
      <diagonal/>
    </border>
    <border>
      <left style="medium">
        <color theme="0"/>
      </left>
      <right/>
      <top style="medium">
        <color indexed="64"/>
      </top>
      <bottom/>
      <diagonal/>
    </border>
  </borders>
  <cellStyleXfs count="5">
    <xf numFmtId="0" fontId="0" fillId="0" borderId="0"/>
    <xf numFmtId="0" fontId="2" fillId="0" borderId="0"/>
    <xf numFmtId="0" fontId="3" fillId="2" borderId="0" applyNumberFormat="0" applyBorder="0" applyAlignment="0" applyProtection="0"/>
    <xf numFmtId="0" fontId="4" fillId="3" borderId="1" applyNumberFormat="0" applyAlignment="0" applyProtection="0"/>
    <xf numFmtId="0" fontId="5" fillId="4" borderId="2" applyNumberFormat="0" applyAlignment="0" applyProtection="0"/>
  </cellStyleXfs>
  <cellXfs count="233">
    <xf numFmtId="0" fontId="0" fillId="0" borderId="0" xfId="0"/>
    <xf numFmtId="0" fontId="1" fillId="0" borderId="0" xfId="0" applyFont="1"/>
    <xf numFmtId="0" fontId="11" fillId="4" borderId="2" xfId="4" applyFont="1"/>
    <xf numFmtId="164" fontId="0" fillId="0" borderId="0" xfId="0" applyNumberFormat="1"/>
    <xf numFmtId="164" fontId="11" fillId="4" borderId="2" xfId="4" applyNumberFormat="1" applyFont="1"/>
    <xf numFmtId="165" fontId="0" fillId="0" borderId="0" xfId="0" applyNumberFormat="1"/>
    <xf numFmtId="165" fontId="11" fillId="4" borderId="2" xfId="4" applyNumberFormat="1" applyFont="1"/>
    <xf numFmtId="0" fontId="6" fillId="5" borderId="12" xfId="0" applyFont="1" applyFill="1" applyBorder="1"/>
    <xf numFmtId="0" fontId="6" fillId="5" borderId="11" xfId="0" applyFont="1" applyFill="1" applyBorder="1"/>
    <xf numFmtId="0" fontId="6" fillId="5" borderId="13" xfId="0" applyFont="1" applyFill="1" applyBorder="1"/>
    <xf numFmtId="0" fontId="6" fillId="5" borderId="0" xfId="0" applyFont="1" applyFill="1" applyBorder="1"/>
    <xf numFmtId="0" fontId="6" fillId="5" borderId="14" xfId="0" applyFont="1" applyFill="1" applyBorder="1"/>
    <xf numFmtId="164" fontId="6" fillId="5" borderId="13" xfId="0" applyNumberFormat="1" applyFont="1" applyFill="1" applyBorder="1"/>
    <xf numFmtId="165" fontId="6" fillId="5" borderId="13" xfId="0" applyNumberFormat="1" applyFont="1" applyFill="1" applyBorder="1"/>
    <xf numFmtId="165" fontId="11" fillId="6" borderId="2" xfId="4" applyNumberFormat="1" applyFont="1" applyFill="1"/>
    <xf numFmtId="0" fontId="11" fillId="4" borderId="2" xfId="4" applyFont="1" applyAlignment="1">
      <alignment horizontal="right"/>
    </xf>
    <xf numFmtId="2" fontId="6" fillId="5" borderId="15" xfId="0" applyNumberFormat="1" applyFont="1" applyFill="1" applyBorder="1"/>
    <xf numFmtId="164" fontId="6" fillId="5" borderId="17" xfId="0" applyNumberFormat="1" applyFont="1" applyFill="1" applyBorder="1"/>
    <xf numFmtId="165" fontId="6" fillId="5" borderId="17" xfId="0" applyNumberFormat="1" applyFont="1" applyFill="1" applyBorder="1"/>
    <xf numFmtId="165" fontId="6" fillId="5" borderId="15" xfId="0" applyNumberFormat="1" applyFont="1" applyFill="1" applyBorder="1"/>
    <xf numFmtId="165" fontId="6" fillId="5" borderId="18" xfId="0" applyNumberFormat="1" applyFont="1" applyFill="1" applyBorder="1"/>
    <xf numFmtId="0" fontId="6" fillId="5" borderId="16" xfId="0" applyFont="1" applyFill="1" applyBorder="1"/>
    <xf numFmtId="0" fontId="9" fillId="5" borderId="15" xfId="0" applyFont="1" applyFill="1" applyBorder="1"/>
    <xf numFmtId="0" fontId="6" fillId="5" borderId="15" xfId="0" applyFont="1" applyFill="1" applyBorder="1"/>
    <xf numFmtId="0" fontId="0" fillId="7" borderId="0" xfId="0" applyFill="1"/>
    <xf numFmtId="0" fontId="6" fillId="9" borderId="1" xfId="3" applyFont="1" applyFill="1"/>
    <xf numFmtId="0" fontId="1" fillId="12" borderId="1" xfId="3" applyFont="1" applyFill="1" applyAlignment="1">
      <alignment horizontal="center"/>
    </xf>
    <xf numFmtId="0" fontId="9" fillId="11" borderId="25" xfId="0" applyFont="1" applyFill="1" applyBorder="1" applyAlignment="1">
      <alignment horizontal="center" vertical="center"/>
    </xf>
    <xf numFmtId="165" fontId="11" fillId="6" borderId="27" xfId="4" applyNumberFormat="1" applyFont="1" applyFill="1" applyBorder="1"/>
    <xf numFmtId="0" fontId="9" fillId="11" borderId="25" xfId="0" applyFont="1" applyFill="1" applyBorder="1" applyAlignment="1" applyProtection="1">
      <alignment horizontal="center" vertical="center"/>
    </xf>
    <xf numFmtId="167" fontId="1" fillId="12" borderId="26" xfId="3" applyNumberFormat="1" applyFont="1" applyFill="1" applyBorder="1" applyAlignment="1">
      <alignment horizontal="center"/>
    </xf>
    <xf numFmtId="11" fontId="0" fillId="0" borderId="0" xfId="0" applyNumberFormat="1"/>
    <xf numFmtId="0" fontId="0" fillId="0" borderId="0" xfId="0" applyFont="1"/>
    <xf numFmtId="0" fontId="0" fillId="0" borderId="0" xfId="0" applyFill="1" applyAlignment="1">
      <alignment horizontal="center"/>
    </xf>
    <xf numFmtId="0" fontId="9" fillId="11" borderId="8" xfId="0" applyFont="1" applyFill="1" applyBorder="1" applyAlignment="1">
      <alignment horizontal="right" vertical="center" wrapText="1"/>
    </xf>
    <xf numFmtId="2" fontId="0" fillId="7" borderId="0" xfId="0" applyNumberFormat="1" applyFill="1" applyAlignment="1"/>
    <xf numFmtId="166" fontId="0" fillId="0" borderId="0" xfId="0" applyNumberFormat="1"/>
    <xf numFmtId="0" fontId="0" fillId="19" borderId="0" xfId="0" applyFill="1"/>
    <xf numFmtId="164" fontId="0" fillId="19" borderId="0" xfId="0" applyNumberFormat="1" applyFill="1"/>
    <xf numFmtId="0" fontId="28" fillId="7" borderId="0" xfId="0" applyFont="1" applyFill="1" applyAlignment="1">
      <alignment horizontal="center"/>
    </xf>
    <xf numFmtId="0" fontId="0" fillId="0" borderId="0" xfId="0" applyAlignment="1">
      <alignment wrapText="1"/>
    </xf>
    <xf numFmtId="166" fontId="0" fillId="7" borderId="0" xfId="0" applyNumberFormat="1" applyFill="1" applyAlignment="1"/>
    <xf numFmtId="1" fontId="0" fillId="0" borderId="0" xfId="0" applyNumberFormat="1"/>
    <xf numFmtId="166" fontId="9" fillId="11" borderId="9" xfId="0" applyNumberFormat="1" applyFont="1" applyFill="1" applyBorder="1" applyAlignment="1">
      <alignment horizontal="center" vertical="center" wrapText="1"/>
    </xf>
    <xf numFmtId="0" fontId="9" fillId="27" borderId="8" xfId="0" applyFont="1" applyFill="1" applyBorder="1" applyAlignment="1">
      <alignment vertical="center" wrapText="1"/>
    </xf>
    <xf numFmtId="0" fontId="1" fillId="12" borderId="1" xfId="3" applyNumberFormat="1" applyFont="1" applyFill="1" applyAlignment="1">
      <alignment horizontal="center"/>
    </xf>
    <xf numFmtId="0" fontId="0" fillId="0" borderId="0" xfId="0" applyNumberFormat="1"/>
    <xf numFmtId="0" fontId="42" fillId="0" borderId="0" xfId="0" applyFont="1"/>
    <xf numFmtId="165" fontId="1" fillId="0" borderId="0" xfId="0" applyNumberFormat="1" applyFont="1"/>
    <xf numFmtId="0" fontId="14" fillId="0" borderId="0" xfId="0" applyFont="1"/>
    <xf numFmtId="166" fontId="9" fillId="27" borderId="29" xfId="0" applyNumberFormat="1" applyFont="1" applyFill="1" applyBorder="1" applyAlignment="1">
      <alignment vertical="center" wrapText="1"/>
    </xf>
    <xf numFmtId="0" fontId="1" fillId="7" borderId="0" xfId="0" applyFont="1" applyFill="1" applyAlignment="1"/>
    <xf numFmtId="167" fontId="54" fillId="7" borderId="0" xfId="0" applyNumberFormat="1" applyFont="1" applyFill="1" applyBorder="1" applyAlignment="1">
      <alignment vertical="center"/>
    </xf>
    <xf numFmtId="0" fontId="47" fillId="7" borderId="0" xfId="0" applyFont="1" applyFill="1" applyAlignment="1"/>
    <xf numFmtId="0" fontId="0" fillId="0" borderId="0" xfId="0" applyAlignment="1">
      <alignment horizontal="center" wrapText="1"/>
    </xf>
    <xf numFmtId="0" fontId="0" fillId="0" borderId="0" xfId="0" applyAlignment="1">
      <alignment horizontal="center"/>
    </xf>
    <xf numFmtId="0" fontId="24" fillId="2" borderId="3" xfId="2" applyFont="1" applyBorder="1" applyAlignment="1">
      <alignment horizontal="left" vertical="center"/>
    </xf>
    <xf numFmtId="0" fontId="24" fillId="2" borderId="4" xfId="2" applyFont="1" applyBorder="1" applyAlignment="1">
      <alignment horizontal="left" vertical="center"/>
    </xf>
    <xf numFmtId="0" fontId="24" fillId="2" borderId="5" xfId="2" applyFont="1" applyBorder="1" applyAlignment="1">
      <alignment horizontal="left" vertical="center"/>
    </xf>
    <xf numFmtId="0" fontId="24" fillId="2" borderId="8" xfId="2" applyFont="1" applyBorder="1" applyAlignment="1">
      <alignment horizontal="left" vertical="center"/>
    </xf>
    <xf numFmtId="0" fontId="24" fillId="2" borderId="9" xfId="2" applyFont="1" applyBorder="1" applyAlignment="1">
      <alignment horizontal="left" vertical="center"/>
    </xf>
    <xf numFmtId="0" fontId="24" fillId="2" borderId="10" xfId="2" applyFont="1" applyBorder="1" applyAlignment="1">
      <alignment horizontal="left" vertical="center"/>
    </xf>
    <xf numFmtId="0" fontId="7" fillId="0" borderId="0" xfId="0" applyFont="1" applyFill="1" applyBorder="1" applyAlignment="1">
      <alignment horizontal="center" vertical="center" wrapText="1"/>
    </xf>
    <xf numFmtId="0" fontId="9" fillId="26" borderId="31" xfId="0" applyFont="1" applyFill="1" applyBorder="1" applyAlignment="1">
      <alignment horizontal="center" vertical="center" wrapText="1"/>
    </xf>
    <xf numFmtId="0" fontId="9" fillId="26" borderId="32" xfId="0" applyFont="1" applyFill="1" applyBorder="1" applyAlignment="1">
      <alignment horizontal="center" vertical="center" wrapText="1"/>
    </xf>
    <xf numFmtId="0" fontId="9" fillId="26" borderId="33" xfId="0" applyFont="1" applyFill="1" applyBorder="1" applyAlignment="1">
      <alignment horizontal="center" vertical="center" wrapText="1"/>
    </xf>
    <xf numFmtId="2" fontId="34" fillId="13" borderId="3" xfId="0" applyNumberFormat="1" applyFont="1" applyFill="1" applyBorder="1" applyAlignment="1">
      <alignment horizontal="center" vertical="center"/>
    </xf>
    <xf numFmtId="2" fontId="34" fillId="13" borderId="5" xfId="0" applyNumberFormat="1" applyFont="1" applyFill="1" applyBorder="1" applyAlignment="1">
      <alignment horizontal="center" vertical="center"/>
    </xf>
    <xf numFmtId="2" fontId="34" fillId="13" borderId="6" xfId="0" applyNumberFormat="1" applyFont="1" applyFill="1" applyBorder="1" applyAlignment="1">
      <alignment horizontal="center" vertical="center"/>
    </xf>
    <xf numFmtId="2" fontId="34" fillId="13" borderId="7" xfId="0" applyNumberFormat="1" applyFont="1" applyFill="1" applyBorder="1" applyAlignment="1">
      <alignment horizontal="center" vertical="center"/>
    </xf>
    <xf numFmtId="2" fontId="34" fillId="13" borderId="8" xfId="0" applyNumberFormat="1" applyFont="1" applyFill="1" applyBorder="1" applyAlignment="1">
      <alignment horizontal="center" vertical="center"/>
    </xf>
    <xf numFmtId="2" fontId="34" fillId="13" borderId="10" xfId="0" applyNumberFormat="1" applyFont="1" applyFill="1" applyBorder="1" applyAlignment="1">
      <alignment horizontal="center" vertical="center"/>
    </xf>
    <xf numFmtId="0" fontId="9" fillId="23" borderId="9" xfId="0" applyFont="1" applyFill="1" applyBorder="1" applyAlignment="1">
      <alignment horizontal="center" vertical="center" wrapText="1"/>
    </xf>
    <xf numFmtId="0" fontId="9" fillId="23" borderId="10" xfId="0" applyFont="1" applyFill="1" applyBorder="1" applyAlignment="1">
      <alignment horizontal="center" vertical="center" wrapText="1"/>
    </xf>
    <xf numFmtId="0" fontId="9" fillId="23" borderId="41" xfId="0" applyFont="1" applyFill="1" applyBorder="1" applyAlignment="1">
      <alignment horizontal="center" vertical="center" wrapText="1"/>
    </xf>
    <xf numFmtId="0" fontId="9" fillId="23" borderId="39" xfId="0" applyFont="1" applyFill="1" applyBorder="1" applyAlignment="1">
      <alignment horizontal="center" vertical="center" wrapText="1"/>
    </xf>
    <xf numFmtId="0" fontId="9" fillId="23" borderId="8"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27" borderId="30" xfId="0" applyFont="1" applyFill="1" applyBorder="1" applyAlignment="1">
      <alignment horizontal="center" vertical="center" wrapText="1"/>
    </xf>
    <xf numFmtId="0" fontId="9" fillId="28" borderId="31" xfId="0" applyFont="1" applyFill="1" applyBorder="1" applyAlignment="1">
      <alignment horizontal="center" vertical="center" wrapText="1"/>
    </xf>
    <xf numFmtId="0" fontId="9" fillId="28" borderId="32" xfId="0" applyFont="1" applyFill="1" applyBorder="1" applyAlignment="1">
      <alignment horizontal="center" vertical="center" wrapText="1"/>
    </xf>
    <xf numFmtId="0" fontId="9" fillId="28" borderId="33" xfId="0" applyFont="1" applyFill="1" applyBorder="1" applyAlignment="1">
      <alignment horizontal="center" vertical="center" wrapText="1"/>
    </xf>
    <xf numFmtId="0" fontId="9" fillId="23" borderId="37" xfId="0" applyFont="1" applyFill="1" applyBorder="1" applyAlignment="1">
      <alignment horizontal="center" vertical="center" wrapText="1"/>
    </xf>
    <xf numFmtId="0" fontId="9" fillId="23" borderId="38" xfId="0" applyFont="1" applyFill="1" applyBorder="1" applyAlignment="1">
      <alignment horizontal="center" vertical="center" wrapText="1"/>
    </xf>
    <xf numFmtId="0" fontId="9" fillId="23" borderId="40" xfId="0" applyFont="1" applyFill="1" applyBorder="1" applyAlignment="1">
      <alignment horizontal="center" vertical="center" wrapText="1"/>
    </xf>
    <xf numFmtId="0" fontId="0" fillId="0" borderId="0" xfId="0" applyAlignment="1">
      <alignment horizontal="center" vertical="center" wrapText="1"/>
    </xf>
    <xf numFmtId="0" fontId="6" fillId="5" borderId="0" xfId="0" applyFont="1" applyFill="1" applyBorder="1" applyAlignment="1">
      <alignment horizontal="center"/>
    </xf>
    <xf numFmtId="0" fontId="9" fillId="11" borderId="6" xfId="0" applyFont="1" applyFill="1" applyBorder="1" applyAlignment="1">
      <alignment horizontal="center" vertical="center" wrapText="1"/>
    </xf>
    <xf numFmtId="0" fontId="9" fillId="11" borderId="0" xfId="0" applyFont="1" applyFill="1" applyBorder="1" applyAlignment="1">
      <alignment horizontal="center" vertical="center" wrapText="1"/>
    </xf>
    <xf numFmtId="0" fontId="9" fillId="27" borderId="34" xfId="0" applyFont="1" applyFill="1" applyBorder="1" applyAlignment="1">
      <alignment horizontal="center" vertical="top" wrapText="1"/>
    </xf>
    <xf numFmtId="0" fontId="9" fillId="27" borderId="35" xfId="0" applyFont="1" applyFill="1" applyBorder="1" applyAlignment="1">
      <alignment horizontal="center" vertical="top" wrapText="1"/>
    </xf>
    <xf numFmtId="0" fontId="9" fillId="27" borderId="0" xfId="0" applyFont="1" applyFill="1" applyBorder="1" applyAlignment="1">
      <alignment horizontal="center" vertical="top" wrapText="1"/>
    </xf>
    <xf numFmtId="2" fontId="41" fillId="13" borderId="3" xfId="0" applyNumberFormat="1" applyFont="1" applyFill="1" applyBorder="1" applyAlignment="1">
      <alignment horizontal="center" vertical="center"/>
    </xf>
    <xf numFmtId="2" fontId="41" fillId="13" borderId="5" xfId="0" applyNumberFormat="1" applyFont="1" applyFill="1" applyBorder="1" applyAlignment="1">
      <alignment horizontal="center" vertical="center"/>
    </xf>
    <xf numFmtId="2" fontId="41" fillId="13" borderId="6" xfId="0" applyNumberFormat="1" applyFont="1" applyFill="1" applyBorder="1" applyAlignment="1">
      <alignment horizontal="center" vertical="center"/>
    </xf>
    <xf numFmtId="2" fontId="41" fillId="13" borderId="7" xfId="0" applyNumberFormat="1" applyFont="1" applyFill="1" applyBorder="1" applyAlignment="1">
      <alignment horizontal="center" vertical="center"/>
    </xf>
    <xf numFmtId="2" fontId="41" fillId="13" borderId="8" xfId="0" applyNumberFormat="1" applyFont="1" applyFill="1" applyBorder="1" applyAlignment="1">
      <alignment horizontal="center" vertical="center"/>
    </xf>
    <xf numFmtId="2" fontId="41" fillId="13" borderId="10" xfId="0" applyNumberFormat="1" applyFont="1" applyFill="1" applyBorder="1" applyAlignment="1">
      <alignment horizontal="center" vertical="center"/>
    </xf>
    <xf numFmtId="0" fontId="28" fillId="0" borderId="42" xfId="0" applyFont="1" applyFill="1" applyBorder="1" applyAlignment="1">
      <alignment horizontal="center" vertical="center"/>
    </xf>
    <xf numFmtId="0" fontId="28" fillId="0" borderId="4" xfId="0" applyFont="1" applyFill="1" applyBorder="1" applyAlignment="1">
      <alignment horizontal="center" vertical="center"/>
    </xf>
    <xf numFmtId="2" fontId="18" fillId="12" borderId="24" xfId="3" applyNumberFormat="1" applyFont="1" applyFill="1" applyBorder="1" applyAlignment="1">
      <alignment horizontal="center" vertical="center"/>
    </xf>
    <xf numFmtId="2" fontId="18" fillId="12" borderId="23" xfId="3" applyNumberFormat="1" applyFont="1" applyFill="1" applyBorder="1" applyAlignment="1">
      <alignment horizontal="center" vertical="center"/>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14" fillId="2" borderId="19" xfId="2" applyFont="1" applyBorder="1" applyAlignment="1">
      <alignment horizontal="left" vertical="center"/>
    </xf>
    <xf numFmtId="0" fontId="14" fillId="2" borderId="21" xfId="2" applyFont="1" applyBorder="1" applyAlignment="1">
      <alignment horizontal="left" vertical="center"/>
    </xf>
    <xf numFmtId="0" fontId="14" fillId="2" borderId="20" xfId="2" applyFont="1" applyBorder="1" applyAlignment="1">
      <alignment horizontal="left" vertical="center"/>
    </xf>
    <xf numFmtId="0" fontId="9" fillId="11" borderId="22" xfId="0" applyFont="1" applyFill="1" applyBorder="1" applyAlignment="1">
      <alignment horizontal="center" vertical="center" wrapText="1"/>
    </xf>
    <xf numFmtId="0" fontId="9" fillId="11" borderId="23" xfId="0" applyFont="1" applyFill="1" applyBorder="1" applyAlignment="1">
      <alignment horizontal="center" vertical="center" wrapText="1"/>
    </xf>
    <xf numFmtId="166" fontId="18" fillId="12" borderId="3" xfId="3" applyNumberFormat="1" applyFont="1" applyFill="1" applyBorder="1" applyAlignment="1">
      <alignment horizontal="center" vertical="center"/>
    </xf>
    <xf numFmtId="166" fontId="18" fillId="12" borderId="5" xfId="3" applyNumberFormat="1" applyFont="1" applyFill="1" applyBorder="1" applyAlignment="1">
      <alignment horizontal="center" vertical="center"/>
    </xf>
    <xf numFmtId="166" fontId="18" fillId="12" borderId="8" xfId="3" applyNumberFormat="1" applyFont="1" applyFill="1" applyBorder="1" applyAlignment="1">
      <alignment horizontal="center" vertical="center"/>
    </xf>
    <xf numFmtId="166" fontId="18" fillId="12" borderId="10" xfId="3" applyNumberFormat="1" applyFont="1" applyFill="1" applyBorder="1" applyAlignment="1">
      <alignment horizontal="center" vertical="center"/>
    </xf>
    <xf numFmtId="1" fontId="18" fillId="12" borderId="3" xfId="3" applyNumberFormat="1" applyFont="1" applyFill="1" applyBorder="1" applyAlignment="1">
      <alignment horizontal="center" vertical="center"/>
    </xf>
    <xf numFmtId="1" fontId="18" fillId="12" borderId="5" xfId="3" applyNumberFormat="1" applyFont="1" applyFill="1" applyBorder="1" applyAlignment="1">
      <alignment horizontal="center" vertical="center"/>
    </xf>
    <xf numFmtId="1" fontId="18" fillId="12" borderId="8" xfId="3" applyNumberFormat="1" applyFont="1" applyFill="1" applyBorder="1" applyAlignment="1">
      <alignment horizontal="center" vertical="center"/>
    </xf>
    <xf numFmtId="1" fontId="18" fillId="12" borderId="10" xfId="3" applyNumberFormat="1" applyFont="1" applyFill="1" applyBorder="1" applyAlignment="1">
      <alignment horizontal="center" vertical="center"/>
    </xf>
    <xf numFmtId="0" fontId="6" fillId="7" borderId="4"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9" xfId="0" applyFont="1" applyFill="1" applyBorder="1" applyAlignment="1">
      <alignment horizontal="center" vertical="center"/>
    </xf>
    <xf numFmtId="0" fontId="6" fillId="7" borderId="9" xfId="0" applyFont="1" applyFill="1" applyBorder="1" applyAlignment="1">
      <alignment horizontal="center" vertical="center"/>
    </xf>
    <xf numFmtId="0" fontId="28" fillId="0" borderId="28" xfId="0" applyFont="1" applyFill="1" applyBorder="1" applyAlignment="1">
      <alignment horizontal="center" vertical="center"/>
    </xf>
    <xf numFmtId="0" fontId="6" fillId="5" borderId="0" xfId="0" applyFont="1" applyFill="1" applyBorder="1" applyAlignment="1">
      <alignment horizontal="center" vertical="top" wrapText="1"/>
    </xf>
    <xf numFmtId="0" fontId="1" fillId="20" borderId="0" xfId="0" applyFont="1" applyFill="1" applyAlignment="1">
      <alignment horizontal="center"/>
    </xf>
    <xf numFmtId="0" fontId="6" fillId="5" borderId="0" xfId="0" applyFont="1" applyFill="1" applyBorder="1" applyAlignment="1">
      <alignment horizontal="left" vertical="top" wrapText="1"/>
    </xf>
    <xf numFmtId="0" fontId="6" fillId="5" borderId="0" xfId="0" applyFont="1" applyFill="1" applyBorder="1" applyAlignment="1">
      <alignment horizontal="center" wrapText="1"/>
    </xf>
    <xf numFmtId="2" fontId="34" fillId="13" borderId="0" xfId="0" applyNumberFormat="1" applyFont="1" applyFill="1" applyBorder="1" applyAlignment="1">
      <alignment horizontal="center" vertical="center"/>
    </xf>
    <xf numFmtId="2" fontId="34" fillId="13" borderId="9" xfId="0" applyNumberFormat="1" applyFont="1" applyFill="1" applyBorder="1" applyAlignment="1">
      <alignment horizontal="center" vertical="center"/>
    </xf>
    <xf numFmtId="0" fontId="26" fillId="2" borderId="3" xfId="2" applyFont="1" applyBorder="1" applyAlignment="1">
      <alignment horizontal="center" vertical="center"/>
    </xf>
    <xf numFmtId="0" fontId="26" fillId="2" borderId="4" xfId="2" applyFont="1" applyBorder="1" applyAlignment="1">
      <alignment horizontal="center" vertical="center"/>
    </xf>
    <xf numFmtId="0" fontId="26" fillId="2" borderId="5" xfId="2" applyFont="1" applyBorder="1" applyAlignment="1">
      <alignment horizontal="center" vertical="center"/>
    </xf>
    <xf numFmtId="0" fontId="26" fillId="2" borderId="8" xfId="2" applyFont="1" applyBorder="1" applyAlignment="1">
      <alignment horizontal="center" vertical="center"/>
    </xf>
    <xf numFmtId="0" fontId="26" fillId="2" borderId="9" xfId="2" applyFont="1" applyBorder="1" applyAlignment="1">
      <alignment horizontal="center" vertical="center"/>
    </xf>
    <xf numFmtId="0" fontId="26" fillId="2" borderId="10" xfId="2" applyFont="1" applyBorder="1" applyAlignment="1">
      <alignment horizontal="center" vertical="center"/>
    </xf>
    <xf numFmtId="0" fontId="9" fillId="23" borderId="0"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28" fillId="0" borderId="0" xfId="0" applyFont="1" applyFill="1" applyBorder="1" applyAlignment="1">
      <alignment horizontal="center" vertical="center"/>
    </xf>
    <xf numFmtId="1" fontId="18" fillId="12" borderId="24" xfId="3" applyNumberFormat="1" applyFont="1" applyFill="1" applyBorder="1" applyAlignment="1">
      <alignment horizontal="center" vertical="center"/>
    </xf>
    <xf numFmtId="1" fontId="18" fillId="12" borderId="23" xfId="3" applyNumberFormat="1" applyFont="1" applyFill="1" applyBorder="1" applyAlignment="1">
      <alignment horizontal="center" vertical="center"/>
    </xf>
    <xf numFmtId="2" fontId="18" fillId="13" borderId="24" xfId="4" applyNumberFormat="1" applyFont="1" applyFill="1" applyBorder="1" applyAlignment="1">
      <alignment horizontal="center" vertical="center"/>
    </xf>
    <xf numFmtId="2" fontId="18" fillId="13" borderId="23" xfId="4" applyNumberFormat="1" applyFont="1" applyFill="1" applyBorder="1" applyAlignment="1">
      <alignment horizontal="center" vertical="center"/>
    </xf>
    <xf numFmtId="1" fontId="18" fillId="13" borderId="7" xfId="4" applyNumberFormat="1" applyFont="1" applyFill="1" applyBorder="1" applyAlignment="1">
      <alignment horizontal="center" vertical="center"/>
    </xf>
    <xf numFmtId="1" fontId="18" fillId="13" borderId="10" xfId="4" applyNumberFormat="1" applyFont="1" applyFill="1" applyBorder="1" applyAlignment="1">
      <alignment horizontal="center" vertical="center"/>
    </xf>
    <xf numFmtId="166" fontId="20" fillId="14" borderId="3" xfId="3" applyNumberFormat="1" applyFont="1" applyFill="1" applyBorder="1" applyAlignment="1">
      <alignment horizontal="center" vertical="center"/>
    </xf>
    <xf numFmtId="166" fontId="20" fillId="14" borderId="5" xfId="3" applyNumberFormat="1" applyFont="1" applyFill="1" applyBorder="1" applyAlignment="1">
      <alignment horizontal="center" vertical="center"/>
    </xf>
    <xf numFmtId="166" fontId="20" fillId="14" borderId="8" xfId="3" applyNumberFormat="1" applyFont="1" applyFill="1" applyBorder="1" applyAlignment="1">
      <alignment horizontal="center" vertical="center"/>
    </xf>
    <xf numFmtId="166" fontId="20" fillId="14" borderId="10" xfId="3" applyNumberFormat="1" applyFont="1" applyFill="1" applyBorder="1" applyAlignment="1">
      <alignment horizontal="center" vertical="center"/>
    </xf>
    <xf numFmtId="166" fontId="18" fillId="13" borderId="6" xfId="4" applyNumberFormat="1" applyFont="1" applyFill="1" applyBorder="1" applyAlignment="1">
      <alignment horizontal="center" vertical="center"/>
    </xf>
    <xf numFmtId="166" fontId="18" fillId="13" borderId="7" xfId="4" applyNumberFormat="1" applyFont="1" applyFill="1" applyBorder="1" applyAlignment="1">
      <alignment horizontal="center" vertical="center"/>
    </xf>
    <xf numFmtId="166" fontId="18" fillId="13" borderId="8" xfId="4" applyNumberFormat="1" applyFont="1" applyFill="1" applyBorder="1" applyAlignment="1">
      <alignment horizontal="center" vertical="center"/>
    </xf>
    <xf numFmtId="166" fontId="18" fillId="13" borderId="10" xfId="4" applyNumberFormat="1" applyFont="1" applyFill="1" applyBorder="1" applyAlignment="1">
      <alignment horizontal="center" vertical="center"/>
    </xf>
    <xf numFmtId="0" fontId="14" fillId="21" borderId="0" xfId="0" applyFont="1" applyFill="1" applyAlignment="1">
      <alignment horizontal="center"/>
    </xf>
    <xf numFmtId="0" fontId="9" fillId="27" borderId="36" xfId="0" applyFont="1" applyFill="1" applyBorder="1" applyAlignment="1">
      <alignment horizontal="center" vertical="center" wrapText="1"/>
    </xf>
    <xf numFmtId="0" fontId="9" fillId="27" borderId="29" xfId="0" applyFont="1" applyFill="1" applyBorder="1" applyAlignment="1">
      <alignment horizontal="center" vertical="center" wrapText="1"/>
    </xf>
    <xf numFmtId="0" fontId="9" fillId="27" borderId="9" xfId="0" applyFont="1" applyFill="1" applyBorder="1" applyAlignment="1">
      <alignment horizontal="center" vertical="center" wrapText="1"/>
    </xf>
    <xf numFmtId="0" fontId="14" fillId="2" borderId="19" xfId="2" applyFont="1" applyBorder="1" applyAlignment="1">
      <alignment horizontal="left"/>
    </xf>
    <xf numFmtId="0" fontId="14" fillId="2" borderId="21" xfId="2" applyFont="1" applyBorder="1" applyAlignment="1">
      <alignment horizontal="left"/>
    </xf>
    <xf numFmtId="0" fontId="14" fillId="2" borderId="20" xfId="2" applyFont="1" applyBorder="1" applyAlignment="1">
      <alignment horizontal="left"/>
    </xf>
    <xf numFmtId="165" fontId="6" fillId="11" borderId="21" xfId="0" applyNumberFormat="1" applyFont="1" applyFill="1" applyBorder="1" applyAlignment="1">
      <alignment horizontal="center"/>
    </xf>
    <xf numFmtId="165" fontId="6" fillId="11" borderId="20" xfId="0" applyNumberFormat="1" applyFont="1" applyFill="1" applyBorder="1" applyAlignment="1">
      <alignment horizontal="center"/>
    </xf>
    <xf numFmtId="166" fontId="18" fillId="13" borderId="3" xfId="4" applyNumberFormat="1" applyFont="1" applyFill="1" applyBorder="1" applyAlignment="1">
      <alignment horizontal="center" vertical="center"/>
    </xf>
    <xf numFmtId="166" fontId="18" fillId="13" borderId="5" xfId="4" applyNumberFormat="1" applyFont="1" applyFill="1" applyBorder="1" applyAlignment="1">
      <alignment horizontal="center" vertical="center"/>
    </xf>
    <xf numFmtId="166" fontId="20" fillId="14" borderId="0" xfId="3" applyNumberFormat="1" applyFont="1" applyFill="1" applyBorder="1" applyAlignment="1">
      <alignment horizontal="center" vertical="center"/>
    </xf>
    <xf numFmtId="166" fontId="20" fillId="14" borderId="7" xfId="3" applyNumberFormat="1" applyFont="1" applyFill="1" applyBorder="1" applyAlignment="1">
      <alignment horizontal="center" vertical="center"/>
    </xf>
    <xf numFmtId="166" fontId="20" fillId="14" borderId="9" xfId="3" applyNumberFormat="1" applyFont="1" applyFill="1" applyBorder="1" applyAlignment="1">
      <alignment horizontal="center" vertical="center"/>
    </xf>
    <xf numFmtId="1" fontId="18" fillId="13" borderId="24" xfId="4" applyNumberFormat="1" applyFont="1" applyFill="1" applyBorder="1" applyAlignment="1">
      <alignment horizontal="center" vertical="center"/>
    </xf>
    <xf numFmtId="1" fontId="18" fillId="13" borderId="23" xfId="4" applyNumberFormat="1" applyFont="1" applyFill="1" applyBorder="1" applyAlignment="1">
      <alignment horizontal="center" vertical="center"/>
    </xf>
    <xf numFmtId="167" fontId="20" fillId="14" borderId="24" xfId="3" applyNumberFormat="1" applyFont="1" applyFill="1" applyBorder="1" applyAlignment="1">
      <alignment horizontal="center" vertical="center"/>
    </xf>
    <xf numFmtId="167" fontId="20" fillId="14" borderId="23" xfId="3" applyNumberFormat="1" applyFont="1" applyFill="1" applyBorder="1" applyAlignment="1">
      <alignment horizontal="center" vertical="center"/>
    </xf>
    <xf numFmtId="0" fontId="9" fillId="11" borderId="19" xfId="0" applyFont="1" applyFill="1" applyBorder="1" applyAlignment="1">
      <alignment horizontal="center"/>
    </xf>
    <xf numFmtId="0" fontId="9" fillId="11" borderId="20" xfId="0" applyFont="1" applyFill="1" applyBorder="1" applyAlignment="1">
      <alignment horizontal="center"/>
    </xf>
    <xf numFmtId="0" fontId="1" fillId="8" borderId="19" xfId="0" applyFont="1" applyFill="1" applyBorder="1" applyAlignment="1">
      <alignment horizontal="left"/>
    </xf>
    <xf numFmtId="0" fontId="1" fillId="8" borderId="21" xfId="0" applyFont="1" applyFill="1" applyBorder="1" applyAlignment="1">
      <alignment horizontal="left"/>
    </xf>
    <xf numFmtId="168" fontId="1" fillId="8" borderId="21" xfId="0" applyNumberFormat="1" applyFont="1" applyFill="1" applyBorder="1" applyAlignment="1">
      <alignment horizontal="left"/>
    </xf>
    <xf numFmtId="168" fontId="1" fillId="8" borderId="20" xfId="0" applyNumberFormat="1" applyFont="1" applyFill="1" applyBorder="1" applyAlignment="1">
      <alignment horizontal="left"/>
    </xf>
    <xf numFmtId="0" fontId="1" fillId="8" borderId="20" xfId="0" applyFont="1" applyFill="1" applyBorder="1" applyAlignment="1">
      <alignment horizontal="left"/>
    </xf>
    <xf numFmtId="0" fontId="15" fillId="10" borderId="0" xfId="2" applyFont="1" applyFill="1" applyBorder="1" applyAlignment="1">
      <alignment horizontal="center" vertical="center"/>
    </xf>
    <xf numFmtId="167" fontId="18" fillId="12" borderId="3" xfId="3" applyNumberFormat="1" applyFont="1" applyFill="1" applyBorder="1" applyAlignment="1">
      <alignment horizontal="center" vertical="center"/>
    </xf>
    <xf numFmtId="167" fontId="18" fillId="12" borderId="5" xfId="3" applyNumberFormat="1" applyFont="1" applyFill="1" applyBorder="1" applyAlignment="1">
      <alignment horizontal="center" vertical="center"/>
    </xf>
    <xf numFmtId="167" fontId="18" fillId="12" borderId="8" xfId="3" applyNumberFormat="1" applyFont="1" applyFill="1" applyBorder="1" applyAlignment="1">
      <alignment horizontal="center" vertical="center"/>
    </xf>
    <xf numFmtId="167" fontId="18" fillId="12" borderId="10" xfId="3" applyNumberFormat="1" applyFont="1" applyFill="1" applyBorder="1" applyAlignment="1">
      <alignment horizontal="center" vertical="center"/>
    </xf>
    <xf numFmtId="0" fontId="14" fillId="2" borderId="3" xfId="2" applyFont="1" applyBorder="1" applyAlignment="1">
      <alignment horizontal="left" vertical="center"/>
    </xf>
    <xf numFmtId="0" fontId="14" fillId="2" borderId="4" xfId="2" applyFont="1" applyBorder="1" applyAlignment="1">
      <alignment horizontal="left" vertical="center"/>
    </xf>
    <xf numFmtId="0" fontId="14" fillId="2" borderId="5" xfId="2" applyFont="1" applyBorder="1" applyAlignment="1">
      <alignment horizontal="left"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21" fillId="14" borderId="3" xfId="0" applyFont="1" applyFill="1" applyBorder="1" applyAlignment="1">
      <alignment horizontal="center" vertical="center"/>
    </xf>
    <xf numFmtId="0" fontId="21" fillId="14" borderId="4" xfId="0" applyFont="1" applyFill="1" applyBorder="1" applyAlignment="1">
      <alignment horizontal="center" vertical="center"/>
    </xf>
    <xf numFmtId="0" fontId="21" fillId="14" borderId="5" xfId="0" applyFont="1" applyFill="1" applyBorder="1" applyAlignment="1">
      <alignment horizontal="center" vertical="center"/>
    </xf>
    <xf numFmtId="0" fontId="21" fillId="14" borderId="8" xfId="0" applyFont="1" applyFill="1" applyBorder="1" applyAlignment="1">
      <alignment horizontal="center" vertical="center"/>
    </xf>
    <xf numFmtId="0" fontId="21" fillId="14" borderId="9" xfId="0" applyFont="1" applyFill="1" applyBorder="1" applyAlignment="1">
      <alignment horizontal="center" vertical="center"/>
    </xf>
    <xf numFmtId="0" fontId="21" fillId="14" borderId="10" xfId="0" applyFont="1" applyFill="1" applyBorder="1" applyAlignment="1">
      <alignment horizontal="center" vertical="center"/>
    </xf>
    <xf numFmtId="0" fontId="18" fillId="12" borderId="3" xfId="0" applyFont="1" applyFill="1" applyBorder="1" applyAlignment="1">
      <alignment horizontal="center" vertical="center"/>
    </xf>
    <xf numFmtId="0" fontId="18" fillId="12" borderId="4" xfId="0" applyFont="1" applyFill="1" applyBorder="1" applyAlignment="1">
      <alignment horizontal="center" vertical="center"/>
    </xf>
    <xf numFmtId="0" fontId="18" fillId="12" borderId="5" xfId="0" applyFont="1" applyFill="1" applyBorder="1" applyAlignment="1">
      <alignment horizontal="center" vertical="center"/>
    </xf>
    <xf numFmtId="0" fontId="18" fillId="12" borderId="8" xfId="0" applyFont="1" applyFill="1" applyBorder="1" applyAlignment="1">
      <alignment horizontal="center" vertical="center"/>
    </xf>
    <xf numFmtId="0" fontId="18" fillId="12" borderId="9" xfId="0" applyFont="1" applyFill="1" applyBorder="1" applyAlignment="1">
      <alignment horizontal="center" vertical="center"/>
    </xf>
    <xf numFmtId="0" fontId="18" fillId="12" borderId="10"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4"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0" xfId="0" applyFont="1" applyFill="1" applyBorder="1" applyAlignment="1">
      <alignment horizontal="center" vertical="center"/>
    </xf>
    <xf numFmtId="0" fontId="33" fillId="7" borderId="0" xfId="0" applyFont="1" applyFill="1" applyAlignment="1">
      <alignment horizontal="center"/>
    </xf>
    <xf numFmtId="0" fontId="27" fillId="7" borderId="0" xfId="0" applyFont="1" applyFill="1" applyAlignment="1">
      <alignment horizontal="center"/>
    </xf>
    <xf numFmtId="0" fontId="0" fillId="8" borderId="0" xfId="0" applyFill="1" applyAlignment="1">
      <alignment horizontal="center"/>
    </xf>
    <xf numFmtId="0" fontId="0" fillId="18" borderId="0" xfId="0" applyFill="1" applyAlignment="1">
      <alignment horizontal="center"/>
    </xf>
    <xf numFmtId="0" fontId="43" fillId="7" borderId="3" xfId="0" applyFont="1" applyFill="1" applyBorder="1" applyAlignment="1">
      <alignment horizontal="left" vertical="top" wrapText="1"/>
    </xf>
    <xf numFmtId="0" fontId="43" fillId="7" borderId="4" xfId="0" applyFont="1" applyFill="1" applyBorder="1" applyAlignment="1">
      <alignment horizontal="left" vertical="top" wrapText="1"/>
    </xf>
    <xf numFmtId="0" fontId="43" fillId="7" borderId="5" xfId="0" applyFont="1" applyFill="1" applyBorder="1" applyAlignment="1">
      <alignment horizontal="left" vertical="top" wrapText="1"/>
    </xf>
    <xf numFmtId="0" fontId="43" fillId="7" borderId="6" xfId="0" applyFont="1" applyFill="1" applyBorder="1" applyAlignment="1">
      <alignment horizontal="left" vertical="top" wrapText="1"/>
    </xf>
    <xf numFmtId="0" fontId="43" fillId="7" borderId="0" xfId="0" applyFont="1" applyFill="1" applyBorder="1" applyAlignment="1">
      <alignment horizontal="left" vertical="top" wrapText="1"/>
    </xf>
    <xf numFmtId="0" fontId="43" fillId="7" borderId="7" xfId="0" applyFont="1" applyFill="1" applyBorder="1" applyAlignment="1">
      <alignment horizontal="left" vertical="top" wrapText="1"/>
    </xf>
    <xf numFmtId="0" fontId="43" fillId="7" borderId="8" xfId="0" applyFont="1" applyFill="1" applyBorder="1" applyAlignment="1">
      <alignment horizontal="left" vertical="top" wrapText="1"/>
    </xf>
    <xf numFmtId="0" fontId="43" fillId="7" borderId="9" xfId="0" applyFont="1" applyFill="1" applyBorder="1" applyAlignment="1">
      <alignment horizontal="left" vertical="top" wrapText="1"/>
    </xf>
    <xf numFmtId="0" fontId="43" fillId="7" borderId="10" xfId="0" applyFont="1" applyFill="1" applyBorder="1" applyAlignment="1">
      <alignment horizontal="left" vertical="top" wrapText="1"/>
    </xf>
    <xf numFmtId="0" fontId="0" fillId="15" borderId="0" xfId="0" applyFill="1" applyAlignment="1">
      <alignment horizontal="center"/>
    </xf>
    <xf numFmtId="0" fontId="0" fillId="16" borderId="0" xfId="0" applyFill="1" applyAlignment="1">
      <alignment horizontal="center"/>
    </xf>
    <xf numFmtId="0" fontId="0" fillId="17" borderId="0" xfId="0" applyFill="1" applyAlignment="1">
      <alignment horizontal="center"/>
    </xf>
    <xf numFmtId="0" fontId="0" fillId="26" borderId="0" xfId="0" applyFill="1" applyAlignment="1">
      <alignment horizontal="center"/>
    </xf>
    <xf numFmtId="0" fontId="0" fillId="22" borderId="0" xfId="0" applyFill="1" applyAlignment="1">
      <alignment horizontal="center"/>
    </xf>
    <xf numFmtId="0" fontId="0" fillId="23" borderId="0" xfId="0" applyFill="1" applyAlignment="1">
      <alignment horizontal="center"/>
    </xf>
    <xf numFmtId="0" fontId="0" fillId="24" borderId="0" xfId="0" applyFill="1" applyAlignment="1">
      <alignment horizontal="center"/>
    </xf>
    <xf numFmtId="0" fontId="0" fillId="25" borderId="0" xfId="0" applyFill="1" applyAlignment="1">
      <alignment horizontal="center"/>
    </xf>
    <xf numFmtId="0" fontId="47" fillId="7" borderId="0" xfId="0" applyFont="1" applyFill="1" applyAlignment="1">
      <alignment horizontal="center"/>
    </xf>
    <xf numFmtId="167" fontId="54" fillId="7" borderId="0" xfId="0" applyNumberFormat="1" applyFont="1" applyFill="1" applyBorder="1" applyAlignment="1">
      <alignment horizontal="center" vertical="center"/>
    </xf>
  </cellXfs>
  <cellStyles count="5">
    <cellStyle name="Input" xfId="3" builtinId="20"/>
    <cellStyle name="Neutral" xfId="2" builtinId="28"/>
    <cellStyle name="Normal" xfId="0" builtinId="0"/>
    <cellStyle name="Output" xfId="4" builtinId="21"/>
    <cellStyle name="Standard 2" xfId="1" xr:uid="{00000000-0005-0000-0000-000004000000}"/>
  </cellStyles>
  <dxfs count="201">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numFmt numFmtId="2" formatCode="0.00"/>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b/>
        <i val="0"/>
      </font>
      <fill>
        <patternFill>
          <bgColor rgb="FFFFFF00"/>
        </patternFill>
      </fill>
      <border>
        <left style="thin">
          <color rgb="FFFF0000"/>
        </left>
        <right style="thin">
          <color rgb="FFFF0000"/>
        </right>
        <top style="thin">
          <color rgb="FFFF0000"/>
        </top>
        <bottom style="thin">
          <color rgb="FFFF0000"/>
        </bottom>
        <vertical/>
        <horizontal/>
      </border>
    </dxf>
    <dxf>
      <font>
        <b/>
        <i val="0"/>
        <color auto="1"/>
      </font>
      <fill>
        <patternFill>
          <bgColor rgb="FFFFFF00"/>
        </patternFill>
      </fill>
      <border>
        <left style="thin">
          <color rgb="FFFF0000"/>
        </left>
        <right style="thin">
          <color rgb="FFFF0000"/>
        </right>
        <top style="thin">
          <color rgb="FFFF0000"/>
        </top>
        <bottom style="thin">
          <color rgb="FFFF0000"/>
        </bottom>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degree="90">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border>
    </dxf>
    <dxf>
      <font>
        <b val="0"/>
        <i/>
        <color rgb="FFFF0000"/>
      </font>
      <fill>
        <patternFill patternType="lightGray"/>
      </fill>
    </dxf>
    <dxf>
      <font>
        <b val="0"/>
        <i/>
        <color rgb="FFFF0000"/>
      </font>
      <fill>
        <patternFill patternType="lightGray"/>
      </fill>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vertical/>
        <horizontal/>
      </border>
    </dxf>
    <dxf>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vertical/>
        <horizontal/>
      </border>
    </dxf>
    <dxf>
      <font>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bottom/>
        <vertical/>
        <horizontal/>
      </border>
    </dxf>
    <dxf>
      <font>
        <color auto="1"/>
      </font>
      <fill>
        <gradientFill>
          <stop position="0">
            <color rgb="FFFFFF00"/>
          </stop>
          <stop position="0.5">
            <color theme="0"/>
          </stop>
          <stop position="1">
            <color rgb="FFFFFF00"/>
          </stop>
        </gradientFill>
      </fill>
      <border>
        <left style="thin">
          <color rgb="FFFF0000"/>
        </left>
        <right style="thin">
          <color rgb="FFFF0000"/>
        </right>
        <top style="thin">
          <color theme="0" tint="-0.14996795556505021"/>
        </top>
        <bottom style="thin">
          <color rgb="FFFF0000"/>
        </bottom>
      </border>
    </dxf>
    <dxf>
      <font>
        <strike val="0"/>
        <color rgb="FFFF0000"/>
      </font>
      <fill>
        <gradientFill>
          <stop position="0">
            <color rgb="FFFFFF00"/>
          </stop>
          <stop position="0.5">
            <color theme="0"/>
          </stop>
          <stop position="1">
            <color rgb="FFFFFF00"/>
          </stop>
        </gradientFill>
      </fill>
      <border>
        <left style="thin">
          <color rgb="FFFF0000"/>
        </left>
        <right style="thin">
          <color rgb="FFFF0000"/>
        </right>
        <top style="thin">
          <color rgb="FFFF0000"/>
        </top>
        <bottom/>
        <vertical/>
        <horizontal/>
      </border>
    </dxf>
  </dxfs>
  <tableStyles count="0" defaultTableStyle="TableStyleMedium2" defaultPivotStyle="PivotStyleLight16"/>
  <colors>
    <mruColors>
      <color rgb="FF3366FF"/>
      <color rgb="FF0000FF"/>
      <color rgb="FFEEECE1"/>
      <color rgb="FF0099FF"/>
      <color rgb="FFFFFF00"/>
      <color rgb="FF000000"/>
      <color rgb="FFC0504D"/>
      <color rgb="FFFFEB9C"/>
      <color rgb="FF3F3F3F"/>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79176FB0-B7F2-11CE-97EF-00AA006D2776}" ax:persistence="persistStreamInit" r:id="rId1"/>
</file>

<file path=xl/activeX/activeX2.xml><?xml version="1.0" encoding="utf-8"?>
<ax:ocx xmlns:ax="http://schemas.microsoft.com/office/2006/activeX" xmlns:r="http://schemas.openxmlformats.org/officeDocument/2006/relationships" ax:classid="{79176FB0-B7F2-11CE-97EF-00AA006D2776}" ax:persistence="persistStreamInit" r:id="rId1"/>
</file>

<file path=xl/activeX/activeX3.xml><?xml version="1.0" encoding="utf-8"?>
<ax:ocx xmlns:ax="http://schemas.microsoft.com/office/2006/activeX" xmlns:r="http://schemas.openxmlformats.org/officeDocument/2006/relationships" ax:classid="{79176FB0-B7F2-11CE-97EF-00AA006D2776}" ax:persistence="persistStreamInit" r:id="rId1"/>
</file>

<file path=xl/activeX/activeX4.xml><?xml version="1.0" encoding="utf-8"?>
<ax:ocx xmlns:ax="http://schemas.microsoft.com/office/2006/activeX" xmlns:r="http://schemas.openxmlformats.org/officeDocument/2006/relationships" ax:classid="{79176FB0-B7F2-11CE-97EF-00AA006D2776}"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400" b="0">
                <a:solidFill>
                  <a:sysClr val="windowText" lastClr="000000"/>
                </a:solidFill>
              </a:rPr>
              <a:t>relative contribution to pattern (</a:t>
            </a:r>
            <a:r>
              <a:rPr lang="en-US" sz="1400" b="1">
                <a:solidFill>
                  <a:schemeClr val="accent4"/>
                </a:solidFill>
              </a:rPr>
              <a:t>GIXRD</a:t>
            </a:r>
            <a:r>
              <a:rPr lang="en-US" sz="1400" b="0">
                <a:solidFill>
                  <a:sysClr val="windowText" lastClr="000000"/>
                </a:solidFill>
              </a:rPr>
              <a:t>)</a:t>
            </a:r>
          </a:p>
        </c:rich>
      </c:tx>
      <c:layout>
        <c:manualLayout>
          <c:xMode val="edge"/>
          <c:yMode val="edge"/>
          <c:x val="0.29978409863452277"/>
          <c:y val="0"/>
        </c:manualLayout>
      </c:layout>
      <c:overlay val="0"/>
      <c:spPr>
        <a:noFill/>
        <a:ln>
          <a:noFill/>
        </a:ln>
        <a:effectLst/>
      </c:spPr>
    </c:title>
    <c:autoTitleDeleted val="0"/>
    <c:plotArea>
      <c:layout>
        <c:manualLayout>
          <c:layoutTarget val="inner"/>
          <c:xMode val="edge"/>
          <c:yMode val="edge"/>
          <c:x val="0.11145724421579917"/>
          <c:y val="0.11361642672501097"/>
          <c:w val="0.87632937552378443"/>
          <c:h val="0.8602247643590234"/>
        </c:manualLayout>
      </c:layout>
      <c:scatterChart>
        <c:scatterStyle val="lineMarker"/>
        <c:varyColors val="0"/>
        <c:ser>
          <c:idx val="0"/>
          <c:order val="0"/>
          <c:tx>
            <c:strRef>
              <c:f>'XRD PROBING DEPTH'!$AB$208</c:f>
              <c:strCache>
                <c:ptCount val="1"/>
                <c:pt idx="0">
                  <c:v>relative intensity vs. sample depth
for 2Theta start angle 2Θ(min)</c:v>
                </c:pt>
              </c:strCache>
            </c:strRef>
          </c:tx>
          <c:spPr>
            <a:ln w="38100">
              <a:solidFill>
                <a:schemeClr val="tx2"/>
              </a:solidFill>
            </a:ln>
            <a:effectLst>
              <a:outerShdw blurRad="50800" dist="50800" dir="5400000" algn="ctr" rotWithShape="0">
                <a:schemeClr val="tx1">
                  <a:alpha val="70000"/>
                </a:schemeClr>
              </a:outerShdw>
            </a:effectLst>
          </c:spPr>
          <c:marker>
            <c:symbol val="none"/>
          </c:marker>
          <c:xVal>
            <c:numRef>
              <c:f>'XRD PROBING DEPTH'!$AB$213:$AB$412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xVal>
          <c:yVal>
            <c:numRef>
              <c:f>'XRD PROBING DEPTH'!$AE$213:$AE$412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yVal>
          <c:smooth val="0"/>
          <c:extLst>
            <c:ext xmlns:c16="http://schemas.microsoft.com/office/drawing/2014/chart" uri="{C3380CC4-5D6E-409C-BE32-E72D297353CC}">
              <c16:uniqueId val="{00000009-B446-4A40-9E4B-670642D80582}"/>
            </c:ext>
          </c:extLst>
        </c:ser>
        <c:ser>
          <c:idx val="1"/>
          <c:order val="1"/>
          <c:tx>
            <c:strRef>
              <c:f>'XRD PROBING DEPTH'!$AC$208</c:f>
              <c:strCache>
                <c:ptCount val="1"/>
                <c:pt idx="0">
                  <c:v>relative intensity vs. sample depth
for 2Theta end angle 2Θ(max)</c:v>
                </c:pt>
              </c:strCache>
            </c:strRef>
          </c:tx>
          <c:spPr>
            <a:ln w="38100">
              <a:solidFill>
                <a:schemeClr val="accent6">
                  <a:lumMod val="75000"/>
                </a:schemeClr>
              </a:solidFill>
            </a:ln>
            <a:effectLst>
              <a:outerShdw blurRad="50800" dist="50800" dir="5400000" algn="ctr" rotWithShape="0">
                <a:schemeClr val="tx1">
                  <a:alpha val="70000"/>
                </a:schemeClr>
              </a:outerShdw>
            </a:effectLst>
          </c:spPr>
          <c:marker>
            <c:symbol val="none"/>
          </c:marker>
          <c:xVal>
            <c:numRef>
              <c:f>'XRD PROBING DEPTH'!$AD$213:$AD$412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xVal>
          <c:yVal>
            <c:numRef>
              <c:f>'XRD PROBING DEPTH'!$AE$213:$AE$412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yVal>
          <c:smooth val="0"/>
          <c:extLst>
            <c:ext xmlns:c16="http://schemas.microsoft.com/office/drawing/2014/chart" uri="{C3380CC4-5D6E-409C-BE32-E72D297353CC}">
              <c16:uniqueId val="{0000000A-B446-4A40-9E4B-670642D80582}"/>
            </c:ext>
          </c:extLst>
        </c:ser>
        <c:ser>
          <c:idx val="2"/>
          <c:order val="2"/>
          <c:tx>
            <c:strRef>
              <c:f>'XRD PROBING DEPTH'!$J$308:$K$308</c:f>
              <c:strCache>
                <c:ptCount val="1"/>
                <c:pt idx="0">
                  <c:v>information depth for given
cut-off</c:v>
                </c:pt>
              </c:strCache>
            </c:strRef>
          </c:tx>
          <c:spPr>
            <a:ln w="19050">
              <a:solidFill>
                <a:srgbClr val="FF0000">
                  <a:alpha val="75000"/>
                </a:srgbClr>
              </a:solidFill>
              <a:prstDash val="solid"/>
            </a:ln>
            <a:effectLst>
              <a:glow rad="38100">
                <a:schemeClr val="accent2">
                  <a:satMod val="175000"/>
                  <a:alpha val="75000"/>
                </a:schemeClr>
              </a:glow>
            </a:effectLst>
          </c:spPr>
          <c:marker>
            <c:symbol val="none"/>
          </c:marker>
          <c:xVal>
            <c:numRef>
              <c:f>'XRD PROBING DEPTH'!$J$310:$J$311</c:f>
              <c:numCache>
                <c:formatCode>0</c:formatCode>
                <c:ptCount val="2"/>
                <c:pt idx="0">
                  <c:v>10</c:v>
                </c:pt>
                <c:pt idx="1">
                  <c:v>10</c:v>
                </c:pt>
              </c:numCache>
            </c:numRef>
          </c:xVal>
          <c:yVal>
            <c:numRef>
              <c:f>'XRD PROBING DEPTH'!$K$310:$K$311</c:f>
              <c:numCache>
                <c:formatCode>0.000</c:formatCode>
                <c:ptCount val="2"/>
                <c:pt idx="0">
                  <c:v>0</c:v>
                </c:pt>
                <c:pt idx="1">
                  <c:v>0</c:v>
                </c:pt>
              </c:numCache>
            </c:numRef>
          </c:yVal>
          <c:smooth val="0"/>
          <c:extLst>
            <c:ext xmlns:c16="http://schemas.microsoft.com/office/drawing/2014/chart" uri="{C3380CC4-5D6E-409C-BE32-E72D297353CC}">
              <c16:uniqueId val="{0000000B-B446-4A40-9E4B-670642D80582}"/>
            </c:ext>
          </c:extLst>
        </c:ser>
        <c:dLbls>
          <c:showLegendKey val="0"/>
          <c:showVal val="0"/>
          <c:showCatName val="0"/>
          <c:showSerName val="0"/>
          <c:showPercent val="0"/>
          <c:showBubbleSize val="0"/>
        </c:dLbls>
        <c:axId val="1366497967"/>
        <c:axId val="1596119663"/>
      </c:scatterChart>
      <c:valAx>
        <c:axId val="1366497967"/>
        <c:scaling>
          <c:orientation val="minMax"/>
        </c:scaling>
        <c:delete val="1"/>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crossAx val="1596119663"/>
        <c:crosses val="autoZero"/>
        <c:crossBetween val="midCat"/>
      </c:valAx>
      <c:valAx>
        <c:axId val="1596119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400" b="0">
                    <a:solidFill>
                      <a:sysClr val="windowText" lastClr="000000"/>
                    </a:solidFill>
                  </a:rPr>
                  <a:t>sample depth [µm]</a:t>
                </a:r>
              </a:p>
            </c:rich>
          </c:tx>
          <c:layout>
            <c:manualLayout>
              <c:xMode val="edge"/>
              <c:yMode val="edge"/>
              <c:x val="0"/>
              <c:y val="0.33092442187330473"/>
            </c:manualLayout>
          </c:layout>
          <c:overlay val="0"/>
          <c:spPr>
            <a:noFill/>
            <a:ln>
              <a:noFill/>
            </a:ln>
            <a:effectLst/>
          </c:sp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DE"/>
          </a:p>
        </c:txPr>
        <c:crossAx val="1366497967"/>
        <c:crosses val="autoZero"/>
        <c:crossBetween val="midCat"/>
      </c:valAx>
      <c:spPr>
        <a:noFill/>
        <a:ln>
          <a:noFill/>
        </a:ln>
        <a:effectLst/>
      </c:spPr>
    </c:plotArea>
    <c:legend>
      <c:legendPos val="r"/>
      <c:layout>
        <c:manualLayout>
          <c:xMode val="edge"/>
          <c:yMode val="edge"/>
          <c:x val="0.63729932492549068"/>
          <c:y val="0.53873941088897614"/>
          <c:w val="0.34684324766342695"/>
          <c:h val="0.43171303580644305"/>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DE"/>
        </a:p>
      </c:txPr>
    </c:legend>
    <c:plotVisOnly val="1"/>
    <c:dispBlanksAs val="gap"/>
    <c:showDLblsOverMax val="0"/>
  </c:chart>
  <c:spPr>
    <a:ln w="38100">
      <a:solidFill>
        <a:schemeClr val="accent4"/>
      </a:solidFill>
    </a:ln>
    <a:scene3d>
      <a:camera prst="orthographicFront"/>
      <a:lightRig rig="threePt" dir="t"/>
    </a:scene3d>
    <a:sp3d>
      <a:bevelT w="152400" h="50800" prst="softRound"/>
    </a:sp3d>
  </c:spPr>
  <c:txPr>
    <a:bodyPr/>
    <a:lstStyle/>
    <a:p>
      <a:pPr>
        <a:defRPr/>
      </a:pPr>
      <a:endParaRPr lang="en-D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400" b="0">
                <a:solidFill>
                  <a:sysClr val="windowText" lastClr="000000"/>
                </a:solidFill>
              </a:rPr>
              <a:t>relative contribution to pattern (</a:t>
            </a:r>
            <a:r>
              <a:rPr lang="en-US" sz="1400" b="1" i="0" u="none" strike="noStrike" baseline="0">
                <a:solidFill>
                  <a:schemeClr val="accent6"/>
                </a:solidFill>
                <a:effectLst/>
              </a:rPr>
              <a:t>Theta-2Theta</a:t>
            </a:r>
            <a:r>
              <a:rPr lang="en-US" sz="1400" b="0">
                <a:solidFill>
                  <a:sysClr val="windowText" lastClr="000000"/>
                </a:solidFill>
              </a:rPr>
              <a:t>)</a:t>
            </a:r>
          </a:p>
        </c:rich>
      </c:tx>
      <c:layout>
        <c:manualLayout>
          <c:xMode val="edge"/>
          <c:yMode val="edge"/>
          <c:x val="0.27027246841641733"/>
          <c:y val="0"/>
        </c:manualLayout>
      </c:layout>
      <c:overlay val="0"/>
      <c:spPr>
        <a:noFill/>
        <a:ln>
          <a:noFill/>
        </a:ln>
        <a:effectLst/>
      </c:spPr>
    </c:title>
    <c:autoTitleDeleted val="0"/>
    <c:plotArea>
      <c:layout>
        <c:manualLayout>
          <c:layoutTarget val="inner"/>
          <c:xMode val="edge"/>
          <c:yMode val="edge"/>
          <c:x val="0.11145724421579915"/>
          <c:y val="0.10780335807701859"/>
          <c:w val="0.87632937552378443"/>
          <c:h val="0.8602247643590234"/>
        </c:manualLayout>
      </c:layout>
      <c:scatterChart>
        <c:scatterStyle val="lineMarker"/>
        <c:varyColors val="0"/>
        <c:ser>
          <c:idx val="0"/>
          <c:order val="0"/>
          <c:tx>
            <c:strRef>
              <c:f>'XRD PROBING DEPTH'!$AB$208</c:f>
              <c:strCache>
                <c:ptCount val="1"/>
                <c:pt idx="0">
                  <c:v>relative intensity vs. sample depth
for 2Theta start angle 2Θ(min)</c:v>
                </c:pt>
              </c:strCache>
            </c:strRef>
          </c:tx>
          <c:spPr>
            <a:ln w="38100">
              <a:solidFill>
                <a:schemeClr val="tx2"/>
              </a:solidFill>
            </a:ln>
            <a:effectLst>
              <a:outerShdw blurRad="50800" dist="50800" dir="5400000" algn="ctr" rotWithShape="0">
                <a:schemeClr val="tx1">
                  <a:alpha val="70000"/>
                </a:schemeClr>
              </a:outerShdw>
            </a:effectLst>
          </c:spPr>
          <c:marker>
            <c:symbol val="none"/>
          </c:marker>
          <c:xVal>
            <c:numRef>
              <c:f>'XRD PROBING DEPTH'!$AH$213:$AH$412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xVal>
          <c:yVal>
            <c:numRef>
              <c:f>'XRD PROBING DEPTH'!$AL$213:$AL$412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yVal>
          <c:smooth val="0"/>
          <c:extLst>
            <c:ext xmlns:c16="http://schemas.microsoft.com/office/drawing/2014/chart" uri="{C3380CC4-5D6E-409C-BE32-E72D297353CC}">
              <c16:uniqueId val="{00000006-2DEF-442A-8D67-D4C51D7D1FD4}"/>
            </c:ext>
          </c:extLst>
        </c:ser>
        <c:ser>
          <c:idx val="1"/>
          <c:order val="1"/>
          <c:tx>
            <c:strRef>
              <c:f>'XRD PROBING DEPTH'!$AC$208</c:f>
              <c:strCache>
                <c:ptCount val="1"/>
                <c:pt idx="0">
                  <c:v>relative intensity vs. sample depth
for 2Theta end angle 2Θ(max)</c:v>
                </c:pt>
              </c:strCache>
            </c:strRef>
          </c:tx>
          <c:spPr>
            <a:ln w="38100">
              <a:solidFill>
                <a:schemeClr val="accent6">
                  <a:lumMod val="75000"/>
                </a:schemeClr>
              </a:solidFill>
            </a:ln>
            <a:effectLst>
              <a:outerShdw blurRad="50800" dist="50800" dir="5400000" algn="ctr" rotWithShape="0">
                <a:schemeClr val="tx1">
                  <a:alpha val="70000"/>
                </a:schemeClr>
              </a:outerShdw>
            </a:effectLst>
          </c:spPr>
          <c:marker>
            <c:symbol val="none"/>
          </c:marker>
          <c:xVal>
            <c:numRef>
              <c:f>'XRD PROBING DEPTH'!$AK$213:$AK$412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xVal>
          <c:yVal>
            <c:numRef>
              <c:f>'XRD PROBING DEPTH'!$AM$213:$AM$412</c:f>
              <c:numCache>
                <c:formatCode>0.000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yVal>
          <c:smooth val="0"/>
          <c:extLst>
            <c:ext xmlns:c16="http://schemas.microsoft.com/office/drawing/2014/chart" uri="{C3380CC4-5D6E-409C-BE32-E72D297353CC}">
              <c16:uniqueId val="{00000007-2DEF-442A-8D67-D4C51D7D1FD4}"/>
            </c:ext>
          </c:extLst>
        </c:ser>
        <c:dLbls>
          <c:showLegendKey val="0"/>
          <c:showVal val="0"/>
          <c:showCatName val="0"/>
          <c:showSerName val="0"/>
          <c:showPercent val="0"/>
          <c:showBubbleSize val="0"/>
        </c:dLbls>
        <c:axId val="1366497967"/>
        <c:axId val="1596119663"/>
      </c:scatterChart>
      <c:valAx>
        <c:axId val="1366497967"/>
        <c:scaling>
          <c:orientation val="minMax"/>
        </c:scaling>
        <c:delete val="1"/>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crossAx val="1596119663"/>
        <c:crosses val="autoZero"/>
        <c:crossBetween val="midCat"/>
      </c:valAx>
      <c:valAx>
        <c:axId val="1596119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400" b="0">
                    <a:solidFill>
                      <a:sysClr val="windowText" lastClr="000000"/>
                    </a:solidFill>
                  </a:rPr>
                  <a:t>sample depth [µm]</a:t>
                </a:r>
              </a:p>
            </c:rich>
          </c:tx>
          <c:layout>
            <c:manualLayout>
              <c:xMode val="edge"/>
              <c:yMode val="edge"/>
              <c:x val="0"/>
              <c:y val="0.33092442187330473"/>
            </c:manualLayout>
          </c:layout>
          <c:overlay val="0"/>
          <c:spPr>
            <a:noFill/>
            <a:ln>
              <a:noFill/>
            </a:ln>
            <a:effectLst/>
          </c:sp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DE"/>
          </a:p>
        </c:txPr>
        <c:crossAx val="1366497967"/>
        <c:crosses val="autoZero"/>
        <c:crossBetween val="midCat"/>
      </c:valAx>
      <c:spPr>
        <a:noFill/>
        <a:ln>
          <a:noFill/>
        </a:ln>
        <a:effectLst/>
      </c:spPr>
    </c:plotArea>
    <c:legend>
      <c:legendPos val="r"/>
      <c:layout>
        <c:manualLayout>
          <c:xMode val="edge"/>
          <c:yMode val="edge"/>
          <c:x val="0.64944380860454176"/>
          <c:y val="0.76549781059334687"/>
          <c:w val="0.33854118539895034"/>
          <c:h val="0.2034985976544039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DE"/>
        </a:p>
      </c:txPr>
    </c:legend>
    <c:plotVisOnly val="1"/>
    <c:dispBlanksAs val="gap"/>
    <c:showDLblsOverMax val="0"/>
  </c:chart>
  <c:spPr>
    <a:ln w="38100">
      <a:solidFill>
        <a:schemeClr val="accent6"/>
      </a:solidFill>
    </a:ln>
    <a:scene3d>
      <a:camera prst="orthographicFront"/>
      <a:lightRig rig="threePt" dir="t"/>
    </a:scene3d>
    <a:sp3d>
      <a:bevelT w="152400" h="50800" prst="softRound"/>
    </a:sp3d>
  </c:spPr>
  <c:txPr>
    <a:bodyPr/>
    <a:lstStyle/>
    <a:p>
      <a:pPr>
        <a:defRPr/>
      </a:pPr>
      <a:endParaRPr lang="en-D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95249</xdr:colOff>
      <xdr:row>54</xdr:row>
      <xdr:rowOff>57150</xdr:rowOff>
    </xdr:from>
    <xdr:to>
      <xdr:col>17</xdr:col>
      <xdr:colOff>858449</xdr:colOff>
      <xdr:row>58</xdr:row>
      <xdr:rowOff>180975</xdr:rowOff>
    </xdr:to>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3811249" y="10639425"/>
          <a:ext cx="2592000" cy="923925"/>
        </a:xfrm>
        <a:prstGeom prst="roundRect">
          <a:avLst>
            <a:gd name="adj" fmla="val 11512"/>
          </a:avLst>
        </a:prstGeom>
        <a:solidFill>
          <a:schemeClr val="accent1"/>
        </a:solidFill>
        <a:ln>
          <a:solidFill>
            <a:srgbClr val="0070C0"/>
          </a:solid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twoCellAnchor>
    <xdr:from>
      <xdr:col>11</xdr:col>
      <xdr:colOff>95249</xdr:colOff>
      <xdr:row>54</xdr:row>
      <xdr:rowOff>57150</xdr:rowOff>
    </xdr:from>
    <xdr:to>
      <xdr:col>13</xdr:col>
      <xdr:colOff>858449</xdr:colOff>
      <xdr:row>58</xdr:row>
      <xdr:rowOff>180975</xdr:rowOff>
    </xdr:to>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10153649" y="10639425"/>
          <a:ext cx="2592000" cy="923925"/>
        </a:xfrm>
        <a:prstGeom prst="roundRect">
          <a:avLst>
            <a:gd name="adj" fmla="val 11512"/>
          </a:avLst>
        </a:prstGeom>
        <a:solidFill>
          <a:schemeClr val="accent1"/>
        </a:solidFill>
        <a:ln>
          <a:solidFill>
            <a:srgbClr val="0070C0"/>
          </a:solid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twoCellAnchor>
    <xdr:from>
      <xdr:col>6</xdr:col>
      <xdr:colOff>104774</xdr:colOff>
      <xdr:row>54</xdr:row>
      <xdr:rowOff>57150</xdr:rowOff>
    </xdr:from>
    <xdr:to>
      <xdr:col>8</xdr:col>
      <xdr:colOff>867974</xdr:colOff>
      <xdr:row>58</xdr:row>
      <xdr:rowOff>180975</xdr:rowOff>
    </xdr:to>
    <xdr:sp macro="" textlink="">
      <xdr:nvSpPr>
        <xdr:cNvPr id="19" name="Rectangle: Rounded Corners 18">
          <a:extLst>
            <a:ext uri="{FF2B5EF4-FFF2-40B4-BE49-F238E27FC236}">
              <a16:creationId xmlns:a16="http://schemas.microsoft.com/office/drawing/2014/main" id="{00000000-0008-0000-0000-000013000000}"/>
            </a:ext>
          </a:extLst>
        </xdr:cNvPr>
        <xdr:cNvSpPr/>
      </xdr:nvSpPr>
      <xdr:spPr>
        <a:xfrm>
          <a:off x="5591174" y="10639425"/>
          <a:ext cx="2592000" cy="923925"/>
        </a:xfrm>
        <a:prstGeom prst="roundRect">
          <a:avLst>
            <a:gd name="adj" fmla="val 11512"/>
          </a:avLst>
        </a:prstGeom>
        <a:solidFill>
          <a:schemeClr val="accent1"/>
        </a:solidFill>
        <a:ln>
          <a:solidFill>
            <a:srgbClr val="0070C0"/>
          </a:solid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twoCellAnchor>
    <xdr:from>
      <xdr:col>1</xdr:col>
      <xdr:colOff>828675</xdr:colOff>
      <xdr:row>53</xdr:row>
      <xdr:rowOff>95250</xdr:rowOff>
    </xdr:from>
    <xdr:to>
      <xdr:col>18</xdr:col>
      <xdr:colOff>115875</xdr:colOff>
      <xdr:row>59</xdr:row>
      <xdr:rowOff>152400</xdr:rowOff>
    </xdr:to>
    <xdr:sp macro="" textlink="">
      <xdr:nvSpPr>
        <xdr:cNvPr id="2" name="Rectangle: Rounded Corners 1">
          <a:extLst>
            <a:ext uri="{FF2B5EF4-FFF2-40B4-BE49-F238E27FC236}">
              <a16:creationId xmlns:a16="http://schemas.microsoft.com/office/drawing/2014/main" id="{00000000-0008-0000-0000-000002000000}"/>
            </a:ext>
          </a:extLst>
        </xdr:cNvPr>
        <xdr:cNvSpPr/>
      </xdr:nvSpPr>
      <xdr:spPr>
        <a:xfrm>
          <a:off x="1743075" y="10477500"/>
          <a:ext cx="14832000" cy="1257300"/>
        </a:xfrm>
        <a:prstGeom prst="roundRect">
          <a:avLst>
            <a:gd name="adj" fmla="val 18867"/>
          </a:avLst>
        </a:prstGeom>
        <a:noFill/>
        <a:ln w="76200">
          <a:solidFill>
            <a:srgbClr val="3366FF"/>
          </a:solidFill>
        </a:ln>
        <a:effectLst>
          <a:glow rad="63500">
            <a:schemeClr val="accent1">
              <a:satMod val="175000"/>
              <a:alpha val="40000"/>
            </a:schemeClr>
          </a:glow>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twoCellAnchor>
    <xdr:from>
      <xdr:col>2</xdr:col>
      <xdr:colOff>104775</xdr:colOff>
      <xdr:row>54</xdr:row>
      <xdr:rowOff>57150</xdr:rowOff>
    </xdr:from>
    <xdr:to>
      <xdr:col>4</xdr:col>
      <xdr:colOff>867975</xdr:colOff>
      <xdr:row>58</xdr:row>
      <xdr:rowOff>180975</xdr:rowOff>
    </xdr:to>
    <xdr:sp macro="" textlink="">
      <xdr:nvSpPr>
        <xdr:cNvPr id="7" name="Rectangle: Rounded Corners 6">
          <a:extLst>
            <a:ext uri="{FF2B5EF4-FFF2-40B4-BE49-F238E27FC236}">
              <a16:creationId xmlns:a16="http://schemas.microsoft.com/office/drawing/2014/main" id="{00000000-0008-0000-0000-000007000000}"/>
            </a:ext>
          </a:extLst>
        </xdr:cNvPr>
        <xdr:cNvSpPr/>
      </xdr:nvSpPr>
      <xdr:spPr>
        <a:xfrm>
          <a:off x="1933575" y="10639425"/>
          <a:ext cx="2592000" cy="923925"/>
        </a:xfrm>
        <a:prstGeom prst="roundRect">
          <a:avLst>
            <a:gd name="adj" fmla="val 11512"/>
          </a:avLst>
        </a:prstGeom>
        <a:solidFill>
          <a:schemeClr val="accent1"/>
        </a:solidFill>
        <a:ln>
          <a:solidFill>
            <a:srgbClr val="0070C0"/>
          </a:solid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twoCellAnchor>
    <xdr:from>
      <xdr:col>1</xdr:col>
      <xdr:colOff>893122</xdr:colOff>
      <xdr:row>60</xdr:row>
      <xdr:rowOff>149867</xdr:rowOff>
    </xdr:from>
    <xdr:to>
      <xdr:col>9</xdr:col>
      <xdr:colOff>898151</xdr:colOff>
      <xdr:row>82</xdr:row>
      <xdr:rowOff>118782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60</xdr:row>
      <xdr:rowOff>147358</xdr:rowOff>
    </xdr:from>
    <xdr:to>
      <xdr:col>18</xdr:col>
      <xdr:colOff>29123</xdr:colOff>
      <xdr:row>82</xdr:row>
      <xdr:rowOff>116273</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190500</xdr:colOff>
          <xdr:row>55</xdr:row>
          <xdr:rowOff>9525</xdr:rowOff>
        </xdr:from>
        <xdr:to>
          <xdr:col>2</xdr:col>
          <xdr:colOff>571500</xdr:colOff>
          <xdr:row>58</xdr:row>
          <xdr:rowOff>47625</xdr:rowOff>
        </xdr:to>
        <xdr:sp macro="" textlink="">
          <xdr:nvSpPr>
            <xdr:cNvPr id="1028" name="SpinButton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55</xdr:row>
          <xdr:rowOff>9525</xdr:rowOff>
        </xdr:from>
        <xdr:to>
          <xdr:col>6</xdr:col>
          <xdr:colOff>571500</xdr:colOff>
          <xdr:row>58</xdr:row>
          <xdr:rowOff>47625</xdr:rowOff>
        </xdr:to>
        <xdr:sp macro="" textlink="">
          <xdr:nvSpPr>
            <xdr:cNvPr id="1029" name="Spin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55</xdr:row>
          <xdr:rowOff>9525</xdr:rowOff>
        </xdr:from>
        <xdr:to>
          <xdr:col>11</xdr:col>
          <xdr:colOff>571500</xdr:colOff>
          <xdr:row>58</xdr:row>
          <xdr:rowOff>47625</xdr:rowOff>
        </xdr:to>
        <xdr:sp macro="" textlink="">
          <xdr:nvSpPr>
            <xdr:cNvPr id="1030" name="SpinButton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9525</xdr:rowOff>
        </xdr:from>
        <xdr:to>
          <xdr:col>15</xdr:col>
          <xdr:colOff>571500</xdr:colOff>
          <xdr:row>58</xdr:row>
          <xdr:rowOff>47625</xdr:rowOff>
        </xdr:to>
        <xdr:sp macro="" textlink="">
          <xdr:nvSpPr>
            <xdr:cNvPr id="1031" name="SpinButton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0.11031</cdr:x>
      <cdr:y>0.06308</cdr:y>
    </cdr:from>
    <cdr:to>
      <cdr:x>0.97534</cdr:x>
      <cdr:y>0.06308</cdr:y>
    </cdr:to>
    <cdr:cxnSp macro="">
      <cdr:nvCxnSpPr>
        <cdr:cNvPr id="3" name="Straight Arrow Connector 2">
          <a:extLst xmlns:a="http://schemas.openxmlformats.org/drawingml/2006/main">
            <a:ext uri="{FF2B5EF4-FFF2-40B4-BE49-F238E27FC236}">
              <a16:creationId xmlns:a16="http://schemas.microsoft.com/office/drawing/2014/main" id="{8B5C03C0-EE19-467D-B8C6-B83C65249BD8}"/>
            </a:ext>
          </a:extLst>
        </cdr:cNvPr>
        <cdr:cNvCxnSpPr/>
      </cdr:nvCxnSpPr>
      <cdr:spPr>
        <a:xfrm xmlns:a="http://schemas.openxmlformats.org/drawingml/2006/main">
          <a:off x="832365" y="284462"/>
          <a:ext cx="6527541" cy="0"/>
        </a:xfrm>
        <a:prstGeom xmlns:a="http://schemas.openxmlformats.org/drawingml/2006/main" prst="straightConnector1">
          <a:avLst/>
        </a:prstGeom>
        <a:ln xmlns:a="http://schemas.openxmlformats.org/drawingml/2006/main" w="28575">
          <a:solidFill>
            <a:schemeClr val="bg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0.03612</cdr:x>
      <cdr:y>0.10354</cdr:y>
    </cdr:from>
    <cdr:to>
      <cdr:x>0.03612</cdr:x>
      <cdr:y>0.95201</cdr:y>
    </cdr:to>
    <cdr:cxnSp macro="">
      <cdr:nvCxnSpPr>
        <cdr:cNvPr id="4" name="Straight Arrow Connector 3">
          <a:extLst xmlns:a="http://schemas.openxmlformats.org/drawingml/2006/main">
            <a:ext uri="{FF2B5EF4-FFF2-40B4-BE49-F238E27FC236}">
              <a16:creationId xmlns:a16="http://schemas.microsoft.com/office/drawing/2014/main" id="{617302BA-985F-47CC-B7DA-AD8575C9E067}"/>
            </a:ext>
          </a:extLst>
        </cdr:cNvPr>
        <cdr:cNvCxnSpPr/>
      </cdr:nvCxnSpPr>
      <cdr:spPr>
        <a:xfrm xmlns:a="http://schemas.openxmlformats.org/drawingml/2006/main" rot="5400000">
          <a:off x="-1640504" y="2380044"/>
          <a:ext cx="3826207" cy="0"/>
        </a:xfrm>
        <a:prstGeom xmlns:a="http://schemas.openxmlformats.org/drawingml/2006/main" prst="straightConnector1">
          <a:avLst/>
        </a:prstGeom>
        <a:ln xmlns:a="http://schemas.openxmlformats.org/drawingml/2006/main" w="28575">
          <a:solidFill>
            <a:schemeClr val="bg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0.11031</cdr:x>
      <cdr:y>0.06308</cdr:y>
    </cdr:from>
    <cdr:to>
      <cdr:x>0.97534</cdr:x>
      <cdr:y>0.06308</cdr:y>
    </cdr:to>
    <cdr:cxnSp macro="">
      <cdr:nvCxnSpPr>
        <cdr:cNvPr id="2" name="Straight Arrow Connector 2">
          <a:extLst xmlns:a="http://schemas.openxmlformats.org/drawingml/2006/main">
            <a:ext uri="{FF2B5EF4-FFF2-40B4-BE49-F238E27FC236}">
              <a16:creationId xmlns:a16="http://schemas.microsoft.com/office/drawing/2014/main" id="{8B5C03C0-EE19-467D-B8C6-B83C65249BD8}"/>
            </a:ext>
          </a:extLst>
        </cdr:cNvPr>
        <cdr:cNvCxnSpPr/>
      </cdr:nvCxnSpPr>
      <cdr:spPr>
        <a:xfrm xmlns:a="http://schemas.openxmlformats.org/drawingml/2006/main">
          <a:off x="805093" y="281291"/>
          <a:ext cx="6313384" cy="0"/>
        </a:xfrm>
        <a:prstGeom xmlns:a="http://schemas.openxmlformats.org/drawingml/2006/main" prst="straightConnector1">
          <a:avLst/>
        </a:prstGeom>
        <a:ln xmlns:a="http://schemas.openxmlformats.org/drawingml/2006/main" w="38100">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0.03612</cdr:x>
      <cdr:y>0.10354</cdr:y>
    </cdr:from>
    <cdr:to>
      <cdr:x>0.03612</cdr:x>
      <cdr:y>0.95201</cdr:y>
    </cdr:to>
    <cdr:cxnSp macro="">
      <cdr:nvCxnSpPr>
        <cdr:cNvPr id="5" name="Straight Arrow Connector 3">
          <a:extLst xmlns:a="http://schemas.openxmlformats.org/drawingml/2006/main">
            <a:ext uri="{FF2B5EF4-FFF2-40B4-BE49-F238E27FC236}">
              <a16:creationId xmlns:a16="http://schemas.microsoft.com/office/drawing/2014/main" id="{617302BA-985F-47CC-B7DA-AD8575C9E067}"/>
            </a:ext>
          </a:extLst>
        </cdr:cNvPr>
        <cdr:cNvCxnSpPr/>
      </cdr:nvCxnSpPr>
      <cdr:spPr>
        <a:xfrm xmlns:a="http://schemas.openxmlformats.org/drawingml/2006/main" rot="5400000">
          <a:off x="-1640504" y="2380044"/>
          <a:ext cx="3826207" cy="0"/>
        </a:xfrm>
        <a:prstGeom xmlns:a="http://schemas.openxmlformats.org/drawingml/2006/main" prst="straightConnector1">
          <a:avLst/>
        </a:prstGeom>
        <a:ln xmlns:a="http://schemas.openxmlformats.org/drawingml/2006/main" w="38100">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0.11031</cdr:x>
      <cdr:y>0.06308</cdr:y>
    </cdr:from>
    <cdr:to>
      <cdr:x>0.97534</cdr:x>
      <cdr:y>0.06308</cdr:y>
    </cdr:to>
    <cdr:cxnSp macro="">
      <cdr:nvCxnSpPr>
        <cdr:cNvPr id="3" name="Straight Arrow Connector 2">
          <a:extLst xmlns:a="http://schemas.openxmlformats.org/drawingml/2006/main">
            <a:ext uri="{FF2B5EF4-FFF2-40B4-BE49-F238E27FC236}">
              <a16:creationId xmlns:a16="http://schemas.microsoft.com/office/drawing/2014/main" id="{8B5C03C0-EE19-467D-B8C6-B83C65249BD8}"/>
            </a:ext>
          </a:extLst>
        </cdr:cNvPr>
        <cdr:cNvCxnSpPr/>
      </cdr:nvCxnSpPr>
      <cdr:spPr>
        <a:xfrm xmlns:a="http://schemas.openxmlformats.org/drawingml/2006/main">
          <a:off x="832365" y="284462"/>
          <a:ext cx="6527541" cy="0"/>
        </a:xfrm>
        <a:prstGeom xmlns:a="http://schemas.openxmlformats.org/drawingml/2006/main" prst="straightConnector1">
          <a:avLst/>
        </a:prstGeom>
        <a:ln xmlns:a="http://schemas.openxmlformats.org/drawingml/2006/main" w="28575">
          <a:solidFill>
            <a:schemeClr val="bg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0.03612</cdr:x>
      <cdr:y>0.10354</cdr:y>
    </cdr:from>
    <cdr:to>
      <cdr:x>0.03612</cdr:x>
      <cdr:y>0.95201</cdr:y>
    </cdr:to>
    <cdr:cxnSp macro="">
      <cdr:nvCxnSpPr>
        <cdr:cNvPr id="4" name="Straight Arrow Connector 3">
          <a:extLst xmlns:a="http://schemas.openxmlformats.org/drawingml/2006/main">
            <a:ext uri="{FF2B5EF4-FFF2-40B4-BE49-F238E27FC236}">
              <a16:creationId xmlns:a16="http://schemas.microsoft.com/office/drawing/2014/main" id="{617302BA-985F-47CC-B7DA-AD8575C9E067}"/>
            </a:ext>
          </a:extLst>
        </cdr:cNvPr>
        <cdr:cNvCxnSpPr/>
      </cdr:nvCxnSpPr>
      <cdr:spPr>
        <a:xfrm xmlns:a="http://schemas.openxmlformats.org/drawingml/2006/main" rot="5400000">
          <a:off x="-1640504" y="2380044"/>
          <a:ext cx="3826207" cy="0"/>
        </a:xfrm>
        <a:prstGeom xmlns:a="http://schemas.openxmlformats.org/drawingml/2006/main" prst="straightConnector1">
          <a:avLst/>
        </a:prstGeom>
        <a:ln xmlns:a="http://schemas.openxmlformats.org/drawingml/2006/main" w="28575">
          <a:solidFill>
            <a:schemeClr val="bg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0.11031</cdr:x>
      <cdr:y>0.06308</cdr:y>
    </cdr:from>
    <cdr:to>
      <cdr:x>0.97534</cdr:x>
      <cdr:y>0.06308</cdr:y>
    </cdr:to>
    <cdr:cxnSp macro="">
      <cdr:nvCxnSpPr>
        <cdr:cNvPr id="2" name="Straight Arrow Connector 2">
          <a:extLst xmlns:a="http://schemas.openxmlformats.org/drawingml/2006/main">
            <a:ext uri="{FF2B5EF4-FFF2-40B4-BE49-F238E27FC236}">
              <a16:creationId xmlns:a16="http://schemas.microsoft.com/office/drawing/2014/main" id="{8B5C03C0-EE19-467D-B8C6-B83C65249BD8}"/>
            </a:ext>
          </a:extLst>
        </cdr:cNvPr>
        <cdr:cNvCxnSpPr/>
      </cdr:nvCxnSpPr>
      <cdr:spPr>
        <a:xfrm xmlns:a="http://schemas.openxmlformats.org/drawingml/2006/main">
          <a:off x="832365" y="284462"/>
          <a:ext cx="6527541" cy="0"/>
        </a:xfrm>
        <a:prstGeom xmlns:a="http://schemas.openxmlformats.org/drawingml/2006/main" prst="straightConnector1">
          <a:avLst/>
        </a:prstGeom>
        <a:ln xmlns:a="http://schemas.openxmlformats.org/drawingml/2006/main" w="38100">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0.03612</cdr:x>
      <cdr:y>0.10354</cdr:y>
    </cdr:from>
    <cdr:to>
      <cdr:x>0.03612</cdr:x>
      <cdr:y>0.95201</cdr:y>
    </cdr:to>
    <cdr:cxnSp macro="">
      <cdr:nvCxnSpPr>
        <cdr:cNvPr id="5" name="Straight Arrow Connector 3">
          <a:extLst xmlns:a="http://schemas.openxmlformats.org/drawingml/2006/main">
            <a:ext uri="{FF2B5EF4-FFF2-40B4-BE49-F238E27FC236}">
              <a16:creationId xmlns:a16="http://schemas.microsoft.com/office/drawing/2014/main" id="{617302BA-985F-47CC-B7DA-AD8575C9E067}"/>
            </a:ext>
          </a:extLst>
        </cdr:cNvPr>
        <cdr:cNvCxnSpPr/>
      </cdr:nvCxnSpPr>
      <cdr:spPr>
        <a:xfrm xmlns:a="http://schemas.openxmlformats.org/drawingml/2006/main" rot="5400000">
          <a:off x="-1640504" y="2380044"/>
          <a:ext cx="3826207" cy="0"/>
        </a:xfrm>
        <a:prstGeom xmlns:a="http://schemas.openxmlformats.org/drawingml/2006/main" prst="straightConnector1">
          <a:avLst/>
        </a:prstGeom>
        <a:ln xmlns:a="http://schemas.openxmlformats.org/drawingml/2006/main" w="38100">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X578"/>
  <sheetViews>
    <sheetView tabSelected="1" zoomScaleNormal="100" workbookViewId="0">
      <selection sqref="A1:T3"/>
    </sheetView>
  </sheetViews>
  <sheetFormatPr defaultColWidth="11.42578125" defaultRowHeight="15.95" customHeight="1"/>
  <cols>
    <col min="1" max="1" width="4.140625" customWidth="1"/>
    <col min="2" max="4" width="13.7109375" customWidth="1"/>
    <col min="5" max="5" width="13.7109375" style="3" customWidth="1"/>
    <col min="6" max="6" width="13.7109375" customWidth="1"/>
    <col min="7" max="7" width="13.7109375" style="5" customWidth="1"/>
    <col min="8" max="25" width="13.7109375" customWidth="1"/>
    <col min="26" max="47" width="13.7109375" style="5" customWidth="1"/>
    <col min="48" max="84" width="13.7109375" customWidth="1"/>
  </cols>
  <sheetData>
    <row r="1" spans="1:75" ht="15.95" customHeight="1">
      <c r="A1" s="178" t="s">
        <v>208</v>
      </c>
      <c r="B1" s="178"/>
      <c r="C1" s="178"/>
      <c r="D1" s="178"/>
      <c r="E1" s="178"/>
      <c r="F1" s="178"/>
      <c r="G1" s="178"/>
      <c r="H1" s="178"/>
      <c r="I1" s="178"/>
      <c r="J1" s="178"/>
      <c r="K1" s="178"/>
      <c r="L1" s="178"/>
      <c r="M1" s="178"/>
      <c r="N1" s="178"/>
      <c r="O1" s="178"/>
      <c r="P1" s="178"/>
      <c r="Q1" s="178"/>
      <c r="R1" s="178"/>
      <c r="S1" s="178"/>
      <c r="T1" s="178"/>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row>
    <row r="2" spans="1:75" ht="15.95" customHeight="1">
      <c r="A2" s="178"/>
      <c r="B2" s="178"/>
      <c r="C2" s="178"/>
      <c r="D2" s="178"/>
      <c r="E2" s="178"/>
      <c r="F2" s="178"/>
      <c r="G2" s="178"/>
      <c r="H2" s="178"/>
      <c r="I2" s="178"/>
      <c r="J2" s="178"/>
      <c r="K2" s="178"/>
      <c r="L2" s="178"/>
      <c r="M2" s="178"/>
      <c r="N2" s="178"/>
      <c r="O2" s="178"/>
      <c r="P2" s="178"/>
      <c r="Q2" s="178"/>
      <c r="R2" s="178"/>
      <c r="S2" s="178"/>
      <c r="T2" s="178"/>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row>
    <row r="3" spans="1:75" ht="15.95" customHeight="1">
      <c r="A3" s="178"/>
      <c r="B3" s="178"/>
      <c r="C3" s="178"/>
      <c r="D3" s="178"/>
      <c r="E3" s="178"/>
      <c r="F3" s="178"/>
      <c r="G3" s="178"/>
      <c r="H3" s="178"/>
      <c r="I3" s="178"/>
      <c r="J3" s="178"/>
      <c r="K3" s="178"/>
      <c r="L3" s="178"/>
      <c r="M3" s="178"/>
      <c r="N3" s="178"/>
      <c r="O3" s="178"/>
      <c r="P3" s="178"/>
      <c r="Q3" s="178"/>
      <c r="R3" s="178"/>
      <c r="S3" s="178"/>
      <c r="T3" s="178"/>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row>
    <row r="4" spans="1:75" ht="15.9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1:75" ht="15.95" customHeight="1">
      <c r="A5" s="24"/>
      <c r="B5" s="210" t="s">
        <v>207</v>
      </c>
      <c r="C5" s="211"/>
      <c r="D5" s="211"/>
      <c r="E5" s="211"/>
      <c r="F5" s="211"/>
      <c r="G5" s="211"/>
      <c r="H5" s="211"/>
      <c r="I5" s="211"/>
      <c r="J5" s="211"/>
      <c r="K5" s="211"/>
      <c r="L5" s="211"/>
      <c r="M5" s="211"/>
      <c r="N5" s="211"/>
      <c r="O5" s="211"/>
      <c r="P5" s="211"/>
      <c r="Q5" s="211"/>
      <c r="R5" s="211"/>
      <c r="S5" s="211"/>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row>
    <row r="6" spans="1:75" ht="15.95" customHeight="1" thickBo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row>
    <row r="7" spans="1:75" ht="15.95" customHeight="1" thickBot="1">
      <c r="A7" s="24"/>
      <c r="B7" s="24"/>
      <c r="C7" s="106" t="s">
        <v>89</v>
      </c>
      <c r="D7" s="107"/>
      <c r="E7" s="107"/>
      <c r="F7" s="107"/>
      <c r="G7" s="107"/>
      <c r="H7" s="107"/>
      <c r="I7" s="107"/>
      <c r="J7" s="107"/>
      <c r="K7" s="107"/>
      <c r="L7" s="107"/>
      <c r="M7" s="107"/>
      <c r="N7" s="107"/>
      <c r="O7" s="107"/>
      <c r="P7" s="107"/>
      <c r="Q7" s="107"/>
      <c r="R7" s="108"/>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row>
    <row r="8" spans="1:75" ht="15.95" customHeight="1">
      <c r="A8" s="24"/>
      <c r="B8" s="24"/>
      <c r="C8" s="186" t="s">
        <v>80</v>
      </c>
      <c r="D8" s="187"/>
      <c r="E8" s="187"/>
      <c r="F8" s="188"/>
      <c r="G8" s="192" t="s">
        <v>90</v>
      </c>
      <c r="H8" s="193"/>
      <c r="I8" s="193"/>
      <c r="J8" s="194"/>
      <c r="K8" s="198" t="s">
        <v>91</v>
      </c>
      <c r="L8" s="199"/>
      <c r="M8" s="199"/>
      <c r="N8" s="200"/>
      <c r="O8" s="204" t="s">
        <v>81</v>
      </c>
      <c r="P8" s="205"/>
      <c r="Q8" s="205"/>
      <c r="R8" s="206"/>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row>
    <row r="9" spans="1:75" ht="15.95" customHeight="1" thickBot="1">
      <c r="A9" s="24"/>
      <c r="B9" s="24"/>
      <c r="C9" s="189"/>
      <c r="D9" s="190"/>
      <c r="E9" s="190"/>
      <c r="F9" s="191"/>
      <c r="G9" s="195"/>
      <c r="H9" s="196"/>
      <c r="I9" s="196"/>
      <c r="J9" s="197"/>
      <c r="K9" s="201"/>
      <c r="L9" s="202"/>
      <c r="M9" s="202"/>
      <c r="N9" s="203"/>
      <c r="O9" s="207"/>
      <c r="P9" s="208"/>
      <c r="Q9" s="208"/>
      <c r="R9" s="209"/>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row>
    <row r="10" spans="1:75" ht="15.95"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row>
    <row r="11" spans="1:75" ht="15.95" customHeight="1" thickBo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row>
    <row r="12" spans="1:75" ht="15.95" customHeight="1" thickBot="1">
      <c r="A12" s="24"/>
      <c r="B12" s="106" t="s">
        <v>85</v>
      </c>
      <c r="C12" s="107"/>
      <c r="D12" s="107"/>
      <c r="E12" s="107"/>
      <c r="F12" s="107"/>
      <c r="G12" s="107"/>
      <c r="H12" s="107"/>
      <c r="I12" s="107"/>
      <c r="J12" s="107"/>
      <c r="K12" s="107"/>
      <c r="L12" s="107"/>
      <c r="M12" s="108"/>
      <c r="N12" s="24"/>
      <c r="O12" s="24"/>
      <c r="P12" s="183" t="s">
        <v>129</v>
      </c>
      <c r="Q12" s="184"/>
      <c r="R12" s="184"/>
      <c r="S12" s="185"/>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row>
    <row r="13" spans="1:75" ht="15.95" customHeight="1" thickBot="1">
      <c r="A13" s="24"/>
      <c r="B13" s="102" t="s">
        <v>186</v>
      </c>
      <c r="C13" s="103"/>
      <c r="D13" s="102" t="s">
        <v>139</v>
      </c>
      <c r="E13" s="103"/>
      <c r="F13" s="102" t="s">
        <v>136</v>
      </c>
      <c r="G13" s="103"/>
      <c r="H13" s="102" t="s">
        <v>137</v>
      </c>
      <c r="I13" s="103"/>
      <c r="J13" s="102" t="s">
        <v>138</v>
      </c>
      <c r="K13" s="103"/>
      <c r="L13" s="102" t="s">
        <v>196</v>
      </c>
      <c r="M13" s="103"/>
      <c r="N13" s="24"/>
      <c r="O13" s="24"/>
      <c r="P13" s="173" t="s">
        <v>132</v>
      </c>
      <c r="Q13" s="174"/>
      <c r="R13" s="175">
        <v>1.6021766200000001E-19</v>
      </c>
      <c r="S13" s="176"/>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row>
    <row r="14" spans="1:75" ht="15.95" customHeight="1" thickBot="1">
      <c r="A14" s="24"/>
      <c r="B14" s="104"/>
      <c r="C14" s="105"/>
      <c r="D14" s="104"/>
      <c r="E14" s="105"/>
      <c r="F14" s="104"/>
      <c r="G14" s="105"/>
      <c r="H14" s="104"/>
      <c r="I14" s="105"/>
      <c r="J14" s="104"/>
      <c r="K14" s="105"/>
      <c r="L14" s="104"/>
      <c r="M14" s="105"/>
      <c r="N14" s="24"/>
      <c r="O14" s="24"/>
      <c r="P14" s="173" t="s">
        <v>130</v>
      </c>
      <c r="Q14" s="174"/>
      <c r="R14" s="174">
        <v>299792458</v>
      </c>
      <c r="S14" s="177"/>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row>
    <row r="15" spans="1:75" ht="15.95" customHeight="1" thickBot="1">
      <c r="A15" s="24"/>
      <c r="B15" s="111">
        <v>8.048</v>
      </c>
      <c r="C15" s="112"/>
      <c r="D15" s="164">
        <f>1/EXP(1)</f>
        <v>0.36787944117144233</v>
      </c>
      <c r="E15" s="165"/>
      <c r="F15" s="179">
        <v>1</v>
      </c>
      <c r="G15" s="180"/>
      <c r="H15" s="115">
        <v>10</v>
      </c>
      <c r="I15" s="116"/>
      <c r="J15" s="115">
        <v>100</v>
      </c>
      <c r="K15" s="116"/>
      <c r="L15" s="115">
        <v>10</v>
      </c>
      <c r="M15" s="116"/>
      <c r="N15" s="24"/>
      <c r="O15" s="24"/>
      <c r="P15" s="173" t="s">
        <v>131</v>
      </c>
      <c r="Q15" s="174"/>
      <c r="R15" s="174">
        <v>6.0221408599999999E+23</v>
      </c>
      <c r="S15" s="177"/>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row>
    <row r="16" spans="1:75" ht="15.95" customHeight="1" thickBot="1">
      <c r="A16" s="24"/>
      <c r="B16" s="113"/>
      <c r="C16" s="114"/>
      <c r="D16" s="166"/>
      <c r="E16" s="148"/>
      <c r="F16" s="181"/>
      <c r="G16" s="182"/>
      <c r="H16" s="117"/>
      <c r="I16" s="118"/>
      <c r="J16" s="117"/>
      <c r="K16" s="118"/>
      <c r="L16" s="117"/>
      <c r="M16" s="118"/>
      <c r="N16" s="24"/>
      <c r="O16" s="24"/>
      <c r="P16" s="173" t="s">
        <v>133</v>
      </c>
      <c r="Q16" s="174"/>
      <c r="R16" s="174">
        <v>6.6260700399999999E-34</v>
      </c>
      <c r="S16" s="177"/>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row>
    <row r="17" spans="1:75" ht="15.95" customHeight="1" thickBot="1">
      <c r="A17" s="24"/>
      <c r="B17" s="119" t="s">
        <v>187</v>
      </c>
      <c r="C17" s="119"/>
      <c r="D17" s="120" t="s">
        <v>157</v>
      </c>
      <c r="E17" s="119"/>
      <c r="F17" s="120" t="s">
        <v>156</v>
      </c>
      <c r="G17" s="119"/>
      <c r="H17" s="120" t="s">
        <v>154</v>
      </c>
      <c r="I17" s="119"/>
      <c r="J17" s="138" t="s">
        <v>195</v>
      </c>
      <c r="K17" s="138"/>
      <c r="L17" s="98" t="s">
        <v>180</v>
      </c>
      <c r="M17" s="99"/>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row>
    <row r="18" spans="1:75" ht="15.95" customHeight="1" thickBot="1">
      <c r="A18" s="24"/>
      <c r="B18" s="24"/>
      <c r="C18" s="24"/>
      <c r="D18" s="24"/>
      <c r="E18" s="24"/>
      <c r="F18" s="121" t="s">
        <v>155</v>
      </c>
      <c r="G18" s="122"/>
      <c r="H18" s="121" t="s">
        <v>158</v>
      </c>
      <c r="I18" s="122"/>
      <c r="J18" s="123" t="s">
        <v>153</v>
      </c>
      <c r="K18" s="123"/>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row>
    <row r="19" spans="1:75" ht="15.95" customHeight="1" thickBot="1">
      <c r="A19" s="24"/>
      <c r="B19" s="106" t="s">
        <v>92</v>
      </c>
      <c r="C19" s="107"/>
      <c r="D19" s="107"/>
      <c r="E19" s="107"/>
      <c r="F19" s="107"/>
      <c r="G19" s="107"/>
      <c r="H19" s="107"/>
      <c r="I19" s="107"/>
      <c r="J19" s="107"/>
      <c r="K19" s="107"/>
      <c r="L19" s="107"/>
      <c r="M19" s="108"/>
      <c r="N19" s="24"/>
      <c r="O19" s="24"/>
      <c r="P19" s="157" t="s">
        <v>82</v>
      </c>
      <c r="Q19" s="158"/>
      <c r="R19" s="158"/>
      <c r="S19" s="159"/>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row>
    <row r="20" spans="1:75" ht="15.95" customHeight="1" thickBot="1">
      <c r="A20" s="24"/>
      <c r="B20" s="109" t="s">
        <v>202</v>
      </c>
      <c r="C20" s="109" t="s">
        <v>15</v>
      </c>
      <c r="D20" s="109" t="s">
        <v>16</v>
      </c>
      <c r="E20" s="109" t="s">
        <v>17</v>
      </c>
      <c r="F20" s="109" t="s">
        <v>86</v>
      </c>
      <c r="G20" s="109" t="s">
        <v>87</v>
      </c>
      <c r="H20" s="109" t="s">
        <v>88</v>
      </c>
      <c r="I20" s="109" t="s">
        <v>201</v>
      </c>
      <c r="J20" s="109" t="s">
        <v>200</v>
      </c>
      <c r="K20" s="109" t="s">
        <v>199</v>
      </c>
      <c r="L20" s="109" t="s">
        <v>198</v>
      </c>
      <c r="M20" s="103" t="s">
        <v>197</v>
      </c>
      <c r="N20" s="24"/>
      <c r="O20" s="24"/>
      <c r="P20" s="171" t="s">
        <v>83</v>
      </c>
      <c r="Q20" s="172"/>
      <c r="R20" s="160" t="s">
        <v>84</v>
      </c>
      <c r="S20" s="161"/>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row>
    <row r="21" spans="1:75" ht="15.95" customHeight="1" thickBot="1">
      <c r="A21" s="24"/>
      <c r="B21" s="110"/>
      <c r="C21" s="110"/>
      <c r="D21" s="110"/>
      <c r="E21" s="110"/>
      <c r="F21" s="110"/>
      <c r="G21" s="110"/>
      <c r="H21" s="110"/>
      <c r="I21" s="110"/>
      <c r="J21" s="110"/>
      <c r="K21" s="110"/>
      <c r="L21" s="110"/>
      <c r="M21" s="105"/>
      <c r="N21" s="24"/>
      <c r="O21" s="24"/>
      <c r="P21" s="145">
        <v>1.5406</v>
      </c>
      <c r="Q21" s="146"/>
      <c r="R21" s="162">
        <f>$R$16*$R$14/($P$21*0.0000001*$R$13)</f>
        <v>8.0477864116782456</v>
      </c>
      <c r="S21" s="163"/>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row>
    <row r="22" spans="1:75" ht="15" customHeight="1" thickBot="1">
      <c r="A22" s="24"/>
      <c r="B22" s="139">
        <v>2</v>
      </c>
      <c r="C22" s="100">
        <v>5</v>
      </c>
      <c r="D22" s="100">
        <v>5</v>
      </c>
      <c r="E22" s="100">
        <v>5</v>
      </c>
      <c r="F22" s="100">
        <v>90</v>
      </c>
      <c r="G22" s="100">
        <v>90</v>
      </c>
      <c r="H22" s="100">
        <v>90</v>
      </c>
      <c r="I22" s="167">
        <f>$C$22*$D$22*$E$22*SQRT(1+2*COS($F$22*PI()/180)*COS($G$22*PI()/180)*COS($H$22*PI()/180)-COS($F$22*PI()/180)^2-COS($G$22*PI()/180)^2-COS($H$22*PI()/180)^2)</f>
        <v>125</v>
      </c>
      <c r="J22" s="141">
        <f>$S$296/($I$22*$R$15*1E-24)</f>
        <v>0</v>
      </c>
      <c r="K22" s="169">
        <v>1</v>
      </c>
      <c r="L22" s="141">
        <f>$S$296/($I$22*$R$15*1E-24)*$K$22</f>
        <v>0</v>
      </c>
      <c r="M22" s="143" t="e">
        <f>$U$296*$L$22</f>
        <v>#DIV/0!</v>
      </c>
      <c r="N22" s="24"/>
      <c r="O22" s="24"/>
      <c r="P22" s="147"/>
      <c r="Q22" s="148"/>
      <c r="R22" s="151"/>
      <c r="S22" s="152"/>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row>
    <row r="23" spans="1:75" ht="15.95" customHeight="1" thickBot="1">
      <c r="A23" s="24"/>
      <c r="B23" s="140"/>
      <c r="C23" s="101"/>
      <c r="D23" s="101"/>
      <c r="E23" s="101"/>
      <c r="F23" s="101"/>
      <c r="G23" s="101"/>
      <c r="H23" s="101"/>
      <c r="I23" s="168"/>
      <c r="J23" s="142"/>
      <c r="K23" s="170"/>
      <c r="L23" s="142"/>
      <c r="M23" s="144"/>
      <c r="N23" s="24"/>
      <c r="O23" s="24"/>
      <c r="P23" s="149">
        <f>$R$16*$R$14/($R$23*0.0000001*$R$13)</f>
        <v>1.5405973987712798</v>
      </c>
      <c r="Q23" s="150"/>
      <c r="R23" s="164">
        <v>8.0478000000000005</v>
      </c>
      <c r="S23" s="165"/>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row>
    <row r="24" spans="1:75" ht="15.95" customHeight="1" thickBot="1">
      <c r="A24" s="24"/>
      <c r="B24" s="24"/>
      <c r="C24" s="24"/>
      <c r="D24" s="24"/>
      <c r="E24" s="24"/>
      <c r="F24" s="24"/>
      <c r="G24" s="24"/>
      <c r="H24" s="24"/>
      <c r="I24" s="24"/>
      <c r="J24" s="24"/>
      <c r="K24" s="39" t="s">
        <v>159</v>
      </c>
      <c r="L24" s="24"/>
      <c r="M24" s="24"/>
      <c r="N24" s="24"/>
      <c r="O24" s="24"/>
      <c r="P24" s="151"/>
      <c r="Q24" s="152"/>
      <c r="R24" s="166"/>
      <c r="S24" s="148"/>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row>
    <row r="25" spans="1:75" ht="15.95" customHeight="1" thickBo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row>
    <row r="26" spans="1:75" ht="15.95" customHeight="1" thickBot="1">
      <c r="A26" s="24"/>
      <c r="B26" s="106" t="s">
        <v>93</v>
      </c>
      <c r="C26" s="107"/>
      <c r="D26" s="107"/>
      <c r="E26" s="107"/>
      <c r="F26" s="107"/>
      <c r="G26" s="107"/>
      <c r="H26" s="107"/>
      <c r="I26" s="107"/>
      <c r="J26" s="107"/>
      <c r="K26" s="107"/>
      <c r="L26" s="107"/>
      <c r="M26" s="107"/>
      <c r="N26" s="107"/>
      <c r="O26" s="107"/>
      <c r="P26" s="107"/>
      <c r="Q26" s="107"/>
      <c r="R26" s="107"/>
      <c r="S26" s="108"/>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5" ht="15.95" customHeight="1">
      <c r="A27" s="24"/>
      <c r="B27" s="29" t="s">
        <v>42</v>
      </c>
      <c r="C27" s="24"/>
      <c r="D27" s="24"/>
      <c r="E27" s="24"/>
      <c r="F27" s="24"/>
      <c r="G27" s="24"/>
      <c r="H27" s="24"/>
      <c r="I27" s="24"/>
      <c r="J27" s="24"/>
      <c r="K27" s="24"/>
      <c r="L27" s="24"/>
      <c r="M27" s="24"/>
      <c r="N27" s="24"/>
      <c r="O27" s="24"/>
      <c r="P27" s="24"/>
      <c r="Q27" s="24"/>
      <c r="R27" s="24"/>
      <c r="S27" s="27" t="s">
        <v>43</v>
      </c>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row>
    <row r="28" spans="1:75" ht="15.95" customHeight="1" thickBot="1">
      <c r="A28" s="24"/>
      <c r="B28" s="30">
        <v>0</v>
      </c>
      <c r="C28" s="24"/>
      <c r="D28" s="24"/>
      <c r="E28" s="24"/>
      <c r="F28" s="24"/>
      <c r="G28" s="24"/>
      <c r="H28" s="24"/>
      <c r="I28" s="24"/>
      <c r="J28" s="24"/>
      <c r="K28" s="24"/>
      <c r="L28" s="24"/>
      <c r="M28" s="24"/>
      <c r="N28" s="24"/>
      <c r="O28" s="24"/>
      <c r="P28" s="24"/>
      <c r="Q28" s="24"/>
      <c r="R28" s="24"/>
      <c r="S28" s="30">
        <v>0</v>
      </c>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row>
    <row r="29" spans="1:75" ht="15.95" customHeight="1">
      <c r="A29" s="24"/>
      <c r="B29" s="27" t="s">
        <v>44</v>
      </c>
      <c r="C29" s="27" t="s">
        <v>45</v>
      </c>
      <c r="D29" s="24"/>
      <c r="E29" s="24"/>
      <c r="F29" s="24"/>
      <c r="G29" s="24"/>
      <c r="H29" s="24"/>
      <c r="I29" s="24"/>
      <c r="J29" s="24"/>
      <c r="K29" s="24"/>
      <c r="L29" s="24"/>
      <c r="M29" s="24"/>
      <c r="N29" s="27" t="s">
        <v>46</v>
      </c>
      <c r="O29" s="27" t="s">
        <v>47</v>
      </c>
      <c r="P29" s="27" t="s">
        <v>48</v>
      </c>
      <c r="Q29" s="27" t="s">
        <v>0</v>
      </c>
      <c r="R29" s="27" t="s">
        <v>49</v>
      </c>
      <c r="S29" s="27" t="s">
        <v>50</v>
      </c>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row>
    <row r="30" spans="1:75" ht="15.95" customHeight="1" thickBot="1">
      <c r="A30" s="24"/>
      <c r="B30" s="30">
        <v>0</v>
      </c>
      <c r="C30" s="30">
        <v>0</v>
      </c>
      <c r="D30" s="24"/>
      <c r="E30" s="24"/>
      <c r="F30" s="24"/>
      <c r="G30" s="24"/>
      <c r="H30" s="24"/>
      <c r="I30" s="24"/>
      <c r="J30" s="24"/>
      <c r="K30" s="24"/>
      <c r="L30" s="24"/>
      <c r="M30" s="24"/>
      <c r="N30" s="30">
        <v>0</v>
      </c>
      <c r="O30" s="30">
        <v>0</v>
      </c>
      <c r="P30" s="30">
        <v>0</v>
      </c>
      <c r="Q30" s="30">
        <v>0</v>
      </c>
      <c r="R30" s="30">
        <v>0</v>
      </c>
      <c r="S30" s="30">
        <v>0</v>
      </c>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row>
    <row r="31" spans="1:75" ht="15.95" customHeight="1">
      <c r="A31" s="24"/>
      <c r="B31" s="27" t="s">
        <v>51</v>
      </c>
      <c r="C31" s="27" t="s">
        <v>24</v>
      </c>
      <c r="D31" s="24"/>
      <c r="E31" s="24"/>
      <c r="F31" s="24"/>
      <c r="G31" s="24"/>
      <c r="H31" s="24"/>
      <c r="I31" s="24"/>
      <c r="J31" s="24"/>
      <c r="K31" s="24"/>
      <c r="L31" s="24"/>
      <c r="M31" s="24"/>
      <c r="N31" s="27" t="s">
        <v>25</v>
      </c>
      <c r="O31" s="27" t="s">
        <v>26</v>
      </c>
      <c r="P31" s="27" t="s">
        <v>27</v>
      </c>
      <c r="Q31" s="27" t="s">
        <v>2</v>
      </c>
      <c r="R31" s="27" t="s">
        <v>28</v>
      </c>
      <c r="S31" s="27" t="s">
        <v>52</v>
      </c>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row>
    <row r="32" spans="1:75" ht="15.95" customHeight="1" thickBot="1">
      <c r="A32" s="24"/>
      <c r="B32" s="30">
        <v>0</v>
      </c>
      <c r="C32" s="30">
        <v>0</v>
      </c>
      <c r="D32" s="24"/>
      <c r="E32" s="24"/>
      <c r="F32" s="24"/>
      <c r="G32" s="24"/>
      <c r="H32" s="24"/>
      <c r="I32" s="24"/>
      <c r="J32" s="24"/>
      <c r="K32" s="24"/>
      <c r="L32" s="24"/>
      <c r="M32" s="24"/>
      <c r="N32" s="30">
        <v>0</v>
      </c>
      <c r="O32" s="30">
        <v>0</v>
      </c>
      <c r="P32" s="30">
        <v>0</v>
      </c>
      <c r="Q32" s="30">
        <v>0</v>
      </c>
      <c r="R32" s="30">
        <v>0</v>
      </c>
      <c r="S32" s="30">
        <v>0</v>
      </c>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row>
    <row r="33" spans="1:75" ht="15.95" customHeight="1">
      <c r="A33" s="24"/>
      <c r="B33" s="27" t="s">
        <v>29</v>
      </c>
      <c r="C33" s="27" t="s">
        <v>30</v>
      </c>
      <c r="D33" s="27" t="s">
        <v>53</v>
      </c>
      <c r="E33" s="27" t="s">
        <v>31</v>
      </c>
      <c r="F33" s="27" t="s">
        <v>54</v>
      </c>
      <c r="G33" s="27" t="s">
        <v>32</v>
      </c>
      <c r="H33" s="27" t="s">
        <v>33</v>
      </c>
      <c r="I33" s="27" t="s">
        <v>34</v>
      </c>
      <c r="J33" s="27" t="s">
        <v>35</v>
      </c>
      <c r="K33" s="27" t="s">
        <v>36</v>
      </c>
      <c r="L33" s="27" t="s">
        <v>1</v>
      </c>
      <c r="M33" s="27" t="s">
        <v>3</v>
      </c>
      <c r="N33" s="27" t="s">
        <v>4</v>
      </c>
      <c r="O33" s="27" t="s">
        <v>5</v>
      </c>
      <c r="P33" s="27" t="s">
        <v>37</v>
      </c>
      <c r="Q33" s="27" t="s">
        <v>8</v>
      </c>
      <c r="R33" s="27" t="s">
        <v>38</v>
      </c>
      <c r="S33" s="27" t="s">
        <v>55</v>
      </c>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row>
    <row r="34" spans="1:75" ht="15.95" customHeight="1" thickBot="1">
      <c r="A34" s="24"/>
      <c r="B34" s="30">
        <v>0</v>
      </c>
      <c r="C34" s="30">
        <v>0</v>
      </c>
      <c r="D34" s="30">
        <v>0</v>
      </c>
      <c r="E34" s="30">
        <v>0</v>
      </c>
      <c r="F34" s="30">
        <v>0</v>
      </c>
      <c r="G34" s="30">
        <v>0</v>
      </c>
      <c r="H34" s="30">
        <v>0</v>
      </c>
      <c r="I34" s="30">
        <v>0</v>
      </c>
      <c r="J34" s="30">
        <v>0</v>
      </c>
      <c r="K34" s="30">
        <v>0</v>
      </c>
      <c r="L34" s="30">
        <v>0</v>
      </c>
      <c r="M34" s="30">
        <v>0</v>
      </c>
      <c r="N34" s="30">
        <v>0</v>
      </c>
      <c r="O34" s="30">
        <v>0</v>
      </c>
      <c r="P34" s="30">
        <v>0</v>
      </c>
      <c r="Q34" s="30">
        <v>0</v>
      </c>
      <c r="R34" s="30">
        <v>0</v>
      </c>
      <c r="S34" s="30">
        <v>0</v>
      </c>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row>
    <row r="35" spans="1:75" ht="15.95" customHeight="1">
      <c r="A35" s="24"/>
      <c r="B35" s="27" t="s">
        <v>56</v>
      </c>
      <c r="C35" s="27" t="s">
        <v>57</v>
      </c>
      <c r="D35" s="27" t="s">
        <v>58</v>
      </c>
      <c r="E35" s="27" t="s">
        <v>59</v>
      </c>
      <c r="F35" s="27" t="s">
        <v>60</v>
      </c>
      <c r="G35" s="27" t="s">
        <v>10</v>
      </c>
      <c r="H35" s="27" t="s">
        <v>66</v>
      </c>
      <c r="I35" s="27" t="s">
        <v>61</v>
      </c>
      <c r="J35" s="27" t="s">
        <v>62</v>
      </c>
      <c r="K35" s="27" t="s">
        <v>63</v>
      </c>
      <c r="L35" s="27" t="s">
        <v>64</v>
      </c>
      <c r="M35" s="27" t="s">
        <v>39</v>
      </c>
      <c r="N35" s="27" t="s">
        <v>13</v>
      </c>
      <c r="O35" s="27" t="s">
        <v>14</v>
      </c>
      <c r="P35" s="27" t="s">
        <v>65</v>
      </c>
      <c r="Q35" s="27" t="s">
        <v>41</v>
      </c>
      <c r="R35" s="27" t="s">
        <v>67</v>
      </c>
      <c r="S35" s="27" t="s">
        <v>68</v>
      </c>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row>
    <row r="36" spans="1:75" ht="15" customHeight="1" thickBot="1">
      <c r="A36" s="24"/>
      <c r="B36" s="30">
        <v>0</v>
      </c>
      <c r="C36" s="30">
        <v>0</v>
      </c>
      <c r="D36" s="30">
        <v>0</v>
      </c>
      <c r="E36" s="30">
        <v>0</v>
      </c>
      <c r="F36" s="30">
        <v>0</v>
      </c>
      <c r="G36" s="30">
        <v>0</v>
      </c>
      <c r="H36" s="28"/>
      <c r="I36" s="30">
        <v>0</v>
      </c>
      <c r="J36" s="30">
        <v>0</v>
      </c>
      <c r="K36" s="30">
        <v>0</v>
      </c>
      <c r="L36" s="30">
        <v>0</v>
      </c>
      <c r="M36" s="30">
        <v>0</v>
      </c>
      <c r="N36" s="30">
        <v>0</v>
      </c>
      <c r="O36" s="30">
        <v>0</v>
      </c>
      <c r="P36" s="30">
        <v>0</v>
      </c>
      <c r="Q36" s="30">
        <v>0</v>
      </c>
      <c r="R36" s="30">
        <v>0</v>
      </c>
      <c r="S36" s="30">
        <v>0</v>
      </c>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row>
    <row r="37" spans="1:75" ht="15.95" customHeight="1">
      <c r="A37" s="24"/>
      <c r="B37" s="27" t="s">
        <v>69</v>
      </c>
      <c r="C37" s="27" t="s">
        <v>70</v>
      </c>
      <c r="D37" s="27" t="s">
        <v>96</v>
      </c>
      <c r="E37" s="27" t="s">
        <v>97</v>
      </c>
      <c r="F37" s="27" t="s">
        <v>98</v>
      </c>
      <c r="G37" s="27" t="s">
        <v>75</v>
      </c>
      <c r="H37" s="27" t="s">
        <v>99</v>
      </c>
      <c r="I37" s="27" t="s">
        <v>100</v>
      </c>
      <c r="J37" s="27" t="s">
        <v>101</v>
      </c>
      <c r="K37" s="27" t="s">
        <v>76</v>
      </c>
      <c r="L37" s="27" t="s">
        <v>77</v>
      </c>
      <c r="M37" s="27" t="s">
        <v>78</v>
      </c>
      <c r="N37" s="27" t="s">
        <v>102</v>
      </c>
      <c r="O37" s="27" t="s">
        <v>40</v>
      </c>
      <c r="P37" s="27" t="s">
        <v>79</v>
      </c>
      <c r="Q37" s="27" t="s">
        <v>103</v>
      </c>
      <c r="R37" s="27" t="s">
        <v>104</v>
      </c>
      <c r="S37" s="27" t="s">
        <v>105</v>
      </c>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row>
    <row r="38" spans="1:75" ht="15.95" customHeight="1" thickBot="1">
      <c r="A38" s="24"/>
      <c r="B38" s="30">
        <v>0</v>
      </c>
      <c r="C38" s="30">
        <v>0</v>
      </c>
      <c r="D38" s="30">
        <v>0</v>
      </c>
      <c r="E38" s="30">
        <v>0</v>
      </c>
      <c r="F38" s="30">
        <v>0</v>
      </c>
      <c r="G38" s="30">
        <v>0</v>
      </c>
      <c r="H38" s="30">
        <v>0</v>
      </c>
      <c r="I38" s="30">
        <v>0</v>
      </c>
      <c r="J38" s="30">
        <v>0</v>
      </c>
      <c r="K38" s="30">
        <v>0</v>
      </c>
      <c r="L38" s="30">
        <v>0</v>
      </c>
      <c r="M38" s="30">
        <v>0</v>
      </c>
      <c r="N38" s="30">
        <v>0</v>
      </c>
      <c r="O38" s="30">
        <v>0</v>
      </c>
      <c r="P38" s="30">
        <v>0</v>
      </c>
      <c r="Q38" s="30">
        <v>0</v>
      </c>
      <c r="R38" s="28"/>
      <c r="S38" s="30">
        <v>0</v>
      </c>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row>
    <row r="39" spans="1:75" ht="15.95" customHeight="1">
      <c r="A39" s="24"/>
      <c r="B39" s="27" t="s">
        <v>94</v>
      </c>
      <c r="C39" s="27" t="s">
        <v>95</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row>
    <row r="40" spans="1:75" ht="15.95" customHeight="1" thickBot="1">
      <c r="A40" s="24"/>
      <c r="B40" s="30">
        <v>0</v>
      </c>
      <c r="C40" s="28"/>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row>
    <row r="41" spans="1:75" ht="15.95" customHeight="1">
      <c r="A41" s="24"/>
      <c r="B41" s="24"/>
      <c r="C41" s="24"/>
      <c r="D41" s="27" t="s">
        <v>71</v>
      </c>
      <c r="E41" s="27" t="s">
        <v>72</v>
      </c>
      <c r="F41" s="27" t="s">
        <v>106</v>
      </c>
      <c r="G41" s="27" t="s">
        <v>107</v>
      </c>
      <c r="H41" s="27" t="s">
        <v>108</v>
      </c>
      <c r="I41" s="27" t="s">
        <v>109</v>
      </c>
      <c r="J41" s="27" t="s">
        <v>110</v>
      </c>
      <c r="K41" s="27" t="s">
        <v>111</v>
      </c>
      <c r="L41" s="27" t="s">
        <v>112</v>
      </c>
      <c r="M41" s="27" t="s">
        <v>113</v>
      </c>
      <c r="N41" s="27" t="s">
        <v>114</v>
      </c>
      <c r="O41" s="27" t="s">
        <v>115</v>
      </c>
      <c r="P41" s="27" t="s">
        <v>116</v>
      </c>
      <c r="Q41" s="27" t="s">
        <v>117</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row>
    <row r="42" spans="1:75" ht="15.95" customHeight="1" thickBot="1">
      <c r="A42" s="24"/>
      <c r="B42" s="24"/>
      <c r="C42" s="24"/>
      <c r="D42" s="30">
        <v>0</v>
      </c>
      <c r="E42" s="30">
        <v>0</v>
      </c>
      <c r="F42" s="30">
        <v>0</v>
      </c>
      <c r="G42" s="30">
        <v>0</v>
      </c>
      <c r="H42" s="30">
        <v>0</v>
      </c>
      <c r="I42" s="30">
        <v>0</v>
      </c>
      <c r="J42" s="30">
        <v>0</v>
      </c>
      <c r="K42" s="30">
        <v>0</v>
      </c>
      <c r="L42" s="30">
        <v>0</v>
      </c>
      <c r="M42" s="30">
        <v>0</v>
      </c>
      <c r="N42" s="30">
        <v>0</v>
      </c>
      <c r="O42" s="30">
        <v>0</v>
      </c>
      <c r="P42" s="30">
        <v>0</v>
      </c>
      <c r="Q42" s="30">
        <v>0</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row>
    <row r="43" spans="1:75" ht="15.9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row>
    <row r="44" spans="1:75" ht="15.95" customHeight="1" thickBo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row>
    <row r="45" spans="1:75" ht="15.95" customHeight="1">
      <c r="A45" s="24"/>
      <c r="B45" s="24"/>
      <c r="C45" s="24"/>
      <c r="D45" s="130" t="s">
        <v>178</v>
      </c>
      <c r="E45" s="131"/>
      <c r="F45" s="131"/>
      <c r="G45" s="131"/>
      <c r="H45" s="131"/>
      <c r="I45" s="131"/>
      <c r="J45" s="131"/>
      <c r="K45" s="131"/>
      <c r="L45" s="131"/>
      <c r="M45" s="131"/>
      <c r="N45" s="131"/>
      <c r="O45" s="131"/>
      <c r="P45" s="131"/>
      <c r="Q45" s="132"/>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row>
    <row r="46" spans="1:75" ht="15.95" customHeight="1" thickBot="1">
      <c r="A46" s="24"/>
      <c r="B46" s="24"/>
      <c r="C46" s="24"/>
      <c r="D46" s="133"/>
      <c r="E46" s="134"/>
      <c r="F46" s="134"/>
      <c r="G46" s="134"/>
      <c r="H46" s="134"/>
      <c r="I46" s="134"/>
      <c r="J46" s="134"/>
      <c r="K46" s="134"/>
      <c r="L46" s="134"/>
      <c r="M46" s="134"/>
      <c r="N46" s="134"/>
      <c r="O46" s="134"/>
      <c r="P46" s="134"/>
      <c r="Q46" s="135"/>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row>
    <row r="47" spans="1:75" ht="15.95" customHeight="1">
      <c r="A47" s="24"/>
      <c r="B47" s="24"/>
      <c r="C47" s="24"/>
      <c r="D47" s="87" t="s">
        <v>182</v>
      </c>
      <c r="E47" s="88"/>
      <c r="F47" s="79" t="s">
        <v>145</v>
      </c>
      <c r="G47" s="80"/>
      <c r="H47" s="80"/>
      <c r="I47" s="80"/>
      <c r="J47" s="80"/>
      <c r="K47" s="81"/>
      <c r="L47" s="63" t="s">
        <v>179</v>
      </c>
      <c r="M47" s="64"/>
      <c r="N47" s="64"/>
      <c r="O47" s="64"/>
      <c r="P47" s="64"/>
      <c r="Q47" s="65"/>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row>
    <row r="48" spans="1:75" ht="15.95" customHeight="1">
      <c r="A48" s="24"/>
      <c r="B48" s="24"/>
      <c r="C48" s="24"/>
      <c r="D48" s="87"/>
      <c r="E48" s="88"/>
      <c r="F48" s="77" t="s">
        <v>171</v>
      </c>
      <c r="G48" s="78"/>
      <c r="H48" s="89" t="s">
        <v>170</v>
      </c>
      <c r="I48" s="90"/>
      <c r="J48" s="91" t="s">
        <v>170</v>
      </c>
      <c r="K48" s="91"/>
      <c r="L48" s="82" t="s">
        <v>171</v>
      </c>
      <c r="M48" s="83"/>
      <c r="N48" s="84" t="s">
        <v>171</v>
      </c>
      <c r="O48" s="83"/>
      <c r="P48" s="136" t="s">
        <v>171</v>
      </c>
      <c r="Q48" s="137"/>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row>
    <row r="49" spans="1:75" ht="15.95" customHeight="1" thickBot="1">
      <c r="A49" s="24"/>
      <c r="B49" s="24"/>
      <c r="C49" s="24"/>
      <c r="D49" s="34" t="s">
        <v>134</v>
      </c>
      <c r="E49" s="43">
        <f>$D$15</f>
        <v>0.36787944117144233</v>
      </c>
      <c r="F49" s="44" t="s">
        <v>134</v>
      </c>
      <c r="G49" s="50">
        <f>$D$15</f>
        <v>0.36787944117144233</v>
      </c>
      <c r="H49" s="154" t="s">
        <v>172</v>
      </c>
      <c r="I49" s="155"/>
      <c r="J49" s="156" t="s">
        <v>194</v>
      </c>
      <c r="K49" s="156"/>
      <c r="L49" s="76" t="s">
        <v>172</v>
      </c>
      <c r="M49" s="75"/>
      <c r="N49" s="74" t="s">
        <v>194</v>
      </c>
      <c r="O49" s="75"/>
      <c r="P49" s="72" t="s">
        <v>135</v>
      </c>
      <c r="Q49" s="73"/>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row>
    <row r="50" spans="1:75" ht="15.95" customHeight="1">
      <c r="A50" s="24"/>
      <c r="B50" s="24"/>
      <c r="C50" s="24"/>
      <c r="D50" s="92" t="e">
        <f>((-LN($D$15))/$M$22)*10000*SIN(90*PI()/180)</f>
        <v>#DIV/0!</v>
      </c>
      <c r="E50" s="93"/>
      <c r="F50" s="68" t="e">
        <f>$D$50*SIN($F$15*PI()/180)</f>
        <v>#DIV/0!</v>
      </c>
      <c r="G50" s="69"/>
      <c r="H50" s="68" t="e">
        <f>LOOKUP($L$15,F310:F509, D310:D509)</f>
        <v>#N/A</v>
      </c>
      <c r="I50" s="69"/>
      <c r="J50" s="68" t="e">
        <f>LOOKUP($L$15,H310:H509, D310:D509)</f>
        <v>#N/A</v>
      </c>
      <c r="K50" s="69"/>
      <c r="L50" s="66" t="e">
        <f>$D$50*SIN($H$15/2*PI()/180)</f>
        <v>#DIV/0!</v>
      </c>
      <c r="M50" s="67"/>
      <c r="N50" s="66" t="e">
        <f>$D$50*SIN(0.5*$J$15*PI()/180)</f>
        <v>#DIV/0!</v>
      </c>
      <c r="O50" s="67"/>
      <c r="P50" s="128" t="e">
        <f>AVERAGE(L50:O52)</f>
        <v>#DIV/0!</v>
      </c>
      <c r="Q50" s="69"/>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row>
    <row r="51" spans="1:75" ht="15.95" customHeight="1">
      <c r="A51" s="24"/>
      <c r="B51" s="24"/>
      <c r="C51" s="24"/>
      <c r="D51" s="94"/>
      <c r="E51" s="95"/>
      <c r="F51" s="68"/>
      <c r="G51" s="69"/>
      <c r="H51" s="68"/>
      <c r="I51" s="69"/>
      <c r="J51" s="68"/>
      <c r="K51" s="69"/>
      <c r="L51" s="68"/>
      <c r="M51" s="69"/>
      <c r="N51" s="68"/>
      <c r="O51" s="69"/>
      <c r="P51" s="128"/>
      <c r="Q51" s="69"/>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row>
    <row r="52" spans="1:75" ht="15.95" customHeight="1" thickBot="1">
      <c r="A52" s="24"/>
      <c r="B52" s="24"/>
      <c r="C52" s="24"/>
      <c r="D52" s="96"/>
      <c r="E52" s="97"/>
      <c r="F52" s="70"/>
      <c r="G52" s="71"/>
      <c r="H52" s="70"/>
      <c r="I52" s="71"/>
      <c r="J52" s="70"/>
      <c r="K52" s="71"/>
      <c r="L52" s="70"/>
      <c r="M52" s="71"/>
      <c r="N52" s="70"/>
      <c r="O52" s="71"/>
      <c r="P52" s="129"/>
      <c r="Q52" s="71"/>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row>
    <row r="53" spans="1:75" ht="15.9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row>
    <row r="54" spans="1:75"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row>
    <row r="55" spans="1:75"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row>
    <row r="56" spans="1:75" ht="15.75" customHeight="1">
      <c r="A56" s="24"/>
      <c r="B56" s="24"/>
      <c r="C56" s="231" t="s">
        <v>203</v>
      </c>
      <c r="D56" s="231"/>
      <c r="E56" s="231"/>
      <c r="F56" s="51"/>
      <c r="G56" s="231" t="s">
        <v>204</v>
      </c>
      <c r="H56" s="231"/>
      <c r="I56" s="231"/>
      <c r="J56" s="24"/>
      <c r="K56" s="53"/>
      <c r="L56" s="231" t="s">
        <v>206</v>
      </c>
      <c r="M56" s="231"/>
      <c r="N56" s="231"/>
      <c r="O56" s="53"/>
      <c r="P56" s="231" t="s">
        <v>205</v>
      </c>
      <c r="Q56" s="231"/>
      <c r="R56" s="231"/>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row>
    <row r="57" spans="1:75" ht="15.75" customHeight="1">
      <c r="A57" s="24"/>
      <c r="B57" s="24"/>
      <c r="C57" s="24"/>
      <c r="D57" s="232">
        <f>F15</f>
        <v>1</v>
      </c>
      <c r="E57" s="52"/>
      <c r="G57" s="24"/>
      <c r="H57" s="232">
        <f>L15</f>
        <v>10</v>
      </c>
      <c r="I57" s="24"/>
      <c r="J57" s="24"/>
      <c r="K57" s="24"/>
      <c r="L57" s="232"/>
      <c r="M57" s="232">
        <f>H15</f>
        <v>10</v>
      </c>
      <c r="N57" s="24"/>
      <c r="O57" s="24"/>
      <c r="P57" s="232"/>
      <c r="Q57" s="232">
        <f>J15</f>
        <v>100</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row>
    <row r="58" spans="1:75" ht="15.75" customHeight="1">
      <c r="A58" s="24"/>
      <c r="B58" s="24"/>
      <c r="C58" s="24"/>
      <c r="D58" s="232"/>
      <c r="E58" s="52"/>
      <c r="F58" s="52"/>
      <c r="G58" s="24"/>
      <c r="H58" s="232"/>
      <c r="I58" s="24"/>
      <c r="J58" s="24"/>
      <c r="K58" s="24"/>
      <c r="L58" s="232"/>
      <c r="M58" s="232"/>
      <c r="N58" s="24"/>
      <c r="O58" s="24"/>
      <c r="P58" s="232"/>
      <c r="Q58" s="232"/>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row>
    <row r="59" spans="1:75"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row>
    <row r="60" spans="1:75"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row>
    <row r="61" spans="1:75" ht="15.9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row>
    <row r="62" spans="1:75" ht="15.9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row>
    <row r="63" spans="1:75" ht="15.9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row>
    <row r="64" spans="1:75" ht="15.95" customHeight="1">
      <c r="A64" s="24"/>
      <c r="B64" s="24"/>
      <c r="C64" s="24"/>
      <c r="D64" s="24"/>
      <c r="E64" s="24"/>
      <c r="F64" s="24"/>
      <c r="G64" s="24"/>
      <c r="H64" s="24"/>
      <c r="I64" s="24"/>
      <c r="J64" s="24"/>
      <c r="K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row>
    <row r="65" spans="1:75" ht="15.9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row>
    <row r="66" spans="1:75" ht="15.9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row>
    <row r="67" spans="1:75" ht="15.9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row>
    <row r="68" spans="1:75" ht="15.9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row>
    <row r="69" spans="1:75" ht="15.9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row>
    <row r="70" spans="1:75" ht="15.9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row>
    <row r="71" spans="1:75" ht="15.9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row>
    <row r="72" spans="1:75" ht="15.9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row>
    <row r="73" spans="1:75" ht="15.9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row>
    <row r="74" spans="1:75" ht="15.9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row>
    <row r="75" spans="1:75" ht="15.9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row>
    <row r="76" spans="1:75" ht="15.9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row>
    <row r="77" spans="1:75" ht="15.9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row>
    <row r="78" spans="1:75" ht="15.9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row>
    <row r="79" spans="1:75" ht="15.9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row>
    <row r="80" spans="1:75" ht="15.9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row>
    <row r="81" spans="1:75" ht="15.9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row>
    <row r="82" spans="1:75"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row>
    <row r="83" spans="1:75"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row>
    <row r="84" spans="1:75" ht="15.9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row>
    <row r="85" spans="1:75" ht="15.9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row>
    <row r="86" spans="1:75" ht="15.9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row>
    <row r="87" spans="1:75" ht="15.95" customHeight="1" thickBo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row>
    <row r="88" spans="1:75" ht="15.95" customHeight="1">
      <c r="A88" s="24"/>
      <c r="B88" s="56" t="s">
        <v>140</v>
      </c>
      <c r="C88" s="57"/>
      <c r="D88" s="57"/>
      <c r="E88" s="57"/>
      <c r="F88" s="57"/>
      <c r="G88" s="57"/>
      <c r="H88" s="57"/>
      <c r="I88" s="57"/>
      <c r="J88" s="57"/>
      <c r="K88" s="57"/>
      <c r="L88" s="57"/>
      <c r="M88" s="57"/>
      <c r="N88" s="57"/>
      <c r="O88" s="57"/>
      <c r="P88" s="57"/>
      <c r="Q88" s="57"/>
      <c r="R88" s="57"/>
      <c r="S88" s="58"/>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row>
    <row r="89" spans="1:75" ht="15.95" customHeight="1" thickBot="1">
      <c r="A89" s="24"/>
      <c r="B89" s="59"/>
      <c r="C89" s="60"/>
      <c r="D89" s="60"/>
      <c r="E89" s="60"/>
      <c r="F89" s="60"/>
      <c r="G89" s="60"/>
      <c r="H89" s="60"/>
      <c r="I89" s="60"/>
      <c r="J89" s="60"/>
      <c r="K89" s="60"/>
      <c r="L89" s="60"/>
      <c r="M89" s="60"/>
      <c r="N89" s="60"/>
      <c r="O89" s="60"/>
      <c r="P89" s="60"/>
      <c r="Q89" s="60"/>
      <c r="R89" s="60"/>
      <c r="S89" s="61"/>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row>
    <row r="90" spans="1:75" ht="15.95" customHeight="1">
      <c r="A90" s="24"/>
      <c r="B90" s="214" t="s">
        <v>209</v>
      </c>
      <c r="C90" s="215"/>
      <c r="D90" s="215"/>
      <c r="E90" s="215"/>
      <c r="F90" s="215"/>
      <c r="G90" s="215"/>
      <c r="H90" s="215"/>
      <c r="I90" s="215"/>
      <c r="J90" s="215"/>
      <c r="K90" s="215"/>
      <c r="L90" s="215"/>
      <c r="M90" s="215"/>
      <c r="N90" s="215"/>
      <c r="O90" s="215"/>
      <c r="P90" s="215"/>
      <c r="Q90" s="215"/>
      <c r="R90" s="215"/>
      <c r="S90" s="216"/>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row>
    <row r="91" spans="1:75" ht="15.95" customHeight="1">
      <c r="A91" s="24"/>
      <c r="B91" s="217"/>
      <c r="C91" s="218"/>
      <c r="D91" s="218"/>
      <c r="E91" s="218"/>
      <c r="F91" s="218"/>
      <c r="G91" s="218"/>
      <c r="H91" s="218"/>
      <c r="I91" s="218"/>
      <c r="J91" s="218"/>
      <c r="K91" s="218"/>
      <c r="L91" s="218"/>
      <c r="M91" s="218"/>
      <c r="N91" s="218"/>
      <c r="O91" s="218"/>
      <c r="P91" s="218"/>
      <c r="Q91" s="218"/>
      <c r="R91" s="218"/>
      <c r="S91" s="219"/>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row>
    <row r="92" spans="1:75" ht="15.95" customHeight="1">
      <c r="A92" s="24"/>
      <c r="B92" s="217"/>
      <c r="C92" s="218"/>
      <c r="D92" s="218"/>
      <c r="E92" s="218"/>
      <c r="F92" s="218"/>
      <c r="G92" s="218"/>
      <c r="H92" s="218"/>
      <c r="I92" s="218"/>
      <c r="J92" s="218"/>
      <c r="K92" s="218"/>
      <c r="L92" s="218"/>
      <c r="M92" s="218"/>
      <c r="N92" s="218"/>
      <c r="O92" s="218"/>
      <c r="P92" s="218"/>
      <c r="Q92" s="218"/>
      <c r="R92" s="218"/>
      <c r="S92" s="219"/>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row>
    <row r="93" spans="1:75" ht="15.95" customHeight="1">
      <c r="A93" s="24"/>
      <c r="B93" s="217"/>
      <c r="C93" s="218"/>
      <c r="D93" s="218"/>
      <c r="E93" s="218"/>
      <c r="F93" s="218"/>
      <c r="G93" s="218"/>
      <c r="H93" s="218"/>
      <c r="I93" s="218"/>
      <c r="J93" s="218"/>
      <c r="K93" s="218"/>
      <c r="L93" s="218"/>
      <c r="M93" s="218"/>
      <c r="N93" s="218"/>
      <c r="O93" s="218"/>
      <c r="P93" s="218"/>
      <c r="Q93" s="218"/>
      <c r="R93" s="218"/>
      <c r="S93" s="219"/>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row>
    <row r="94" spans="1:75" ht="15.95" customHeight="1">
      <c r="A94" s="24"/>
      <c r="B94" s="217"/>
      <c r="C94" s="218"/>
      <c r="D94" s="218"/>
      <c r="E94" s="218"/>
      <c r="F94" s="218"/>
      <c r="G94" s="218"/>
      <c r="H94" s="218"/>
      <c r="I94" s="218"/>
      <c r="J94" s="218"/>
      <c r="K94" s="218"/>
      <c r="L94" s="218"/>
      <c r="M94" s="218"/>
      <c r="N94" s="218"/>
      <c r="O94" s="218"/>
      <c r="P94" s="218"/>
      <c r="Q94" s="218"/>
      <c r="R94" s="218"/>
      <c r="S94" s="219"/>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row>
    <row r="95" spans="1:75" ht="15.95" customHeight="1">
      <c r="A95" s="24"/>
      <c r="B95" s="217"/>
      <c r="C95" s="218"/>
      <c r="D95" s="218"/>
      <c r="E95" s="218"/>
      <c r="F95" s="218"/>
      <c r="G95" s="218"/>
      <c r="H95" s="218"/>
      <c r="I95" s="218"/>
      <c r="J95" s="218"/>
      <c r="K95" s="218"/>
      <c r="L95" s="218"/>
      <c r="M95" s="218"/>
      <c r="N95" s="218"/>
      <c r="O95" s="218"/>
      <c r="P95" s="218"/>
      <c r="Q95" s="218"/>
      <c r="R95" s="218"/>
      <c r="S95" s="219"/>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row>
    <row r="96" spans="1:75" ht="15.95" customHeight="1">
      <c r="A96" s="24"/>
      <c r="B96" s="217"/>
      <c r="C96" s="218"/>
      <c r="D96" s="218"/>
      <c r="E96" s="218"/>
      <c r="F96" s="218"/>
      <c r="G96" s="218"/>
      <c r="H96" s="218"/>
      <c r="I96" s="218"/>
      <c r="J96" s="218"/>
      <c r="K96" s="218"/>
      <c r="L96" s="218"/>
      <c r="M96" s="218"/>
      <c r="N96" s="218"/>
      <c r="O96" s="218"/>
      <c r="P96" s="218"/>
      <c r="Q96" s="218"/>
      <c r="R96" s="218"/>
      <c r="S96" s="219"/>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row>
    <row r="97" spans="1:75" ht="15.95" customHeight="1">
      <c r="A97" s="24"/>
      <c r="B97" s="217"/>
      <c r="C97" s="218"/>
      <c r="D97" s="218"/>
      <c r="E97" s="218"/>
      <c r="F97" s="218"/>
      <c r="G97" s="218"/>
      <c r="H97" s="218"/>
      <c r="I97" s="218"/>
      <c r="J97" s="218"/>
      <c r="K97" s="218"/>
      <c r="L97" s="218"/>
      <c r="M97" s="218"/>
      <c r="N97" s="218"/>
      <c r="O97" s="218"/>
      <c r="P97" s="218"/>
      <c r="Q97" s="218"/>
      <c r="R97" s="218"/>
      <c r="S97" s="219"/>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row>
    <row r="98" spans="1:75" ht="15.95" customHeight="1">
      <c r="A98" s="24"/>
      <c r="B98" s="217"/>
      <c r="C98" s="218"/>
      <c r="D98" s="218"/>
      <c r="E98" s="218"/>
      <c r="F98" s="218"/>
      <c r="G98" s="218"/>
      <c r="H98" s="218"/>
      <c r="I98" s="218"/>
      <c r="J98" s="218"/>
      <c r="K98" s="218"/>
      <c r="L98" s="218"/>
      <c r="M98" s="218"/>
      <c r="N98" s="218"/>
      <c r="O98" s="218"/>
      <c r="P98" s="218"/>
      <c r="Q98" s="218"/>
      <c r="R98" s="218"/>
      <c r="S98" s="219"/>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row>
    <row r="99" spans="1:75" ht="15.95" customHeight="1">
      <c r="A99" s="24"/>
      <c r="B99" s="217"/>
      <c r="C99" s="218"/>
      <c r="D99" s="218"/>
      <c r="E99" s="218"/>
      <c r="F99" s="218"/>
      <c r="G99" s="218"/>
      <c r="H99" s="218"/>
      <c r="I99" s="218"/>
      <c r="J99" s="218"/>
      <c r="K99" s="218"/>
      <c r="L99" s="218"/>
      <c r="M99" s="218"/>
      <c r="N99" s="218"/>
      <c r="O99" s="218"/>
      <c r="P99" s="218"/>
      <c r="Q99" s="218"/>
      <c r="R99" s="218"/>
      <c r="S99" s="219"/>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row>
    <row r="100" spans="1:75" ht="15.95" customHeight="1">
      <c r="A100" s="24"/>
      <c r="B100" s="217"/>
      <c r="C100" s="218"/>
      <c r="D100" s="218"/>
      <c r="E100" s="218"/>
      <c r="F100" s="218"/>
      <c r="G100" s="218"/>
      <c r="H100" s="218"/>
      <c r="I100" s="218"/>
      <c r="J100" s="218"/>
      <c r="K100" s="218"/>
      <c r="L100" s="218"/>
      <c r="M100" s="218"/>
      <c r="N100" s="218"/>
      <c r="O100" s="218"/>
      <c r="P100" s="218"/>
      <c r="Q100" s="218"/>
      <c r="R100" s="218"/>
      <c r="S100" s="219"/>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row>
    <row r="101" spans="1:75" ht="15.95" customHeight="1">
      <c r="A101" s="24"/>
      <c r="B101" s="217"/>
      <c r="C101" s="218"/>
      <c r="D101" s="218"/>
      <c r="E101" s="218"/>
      <c r="F101" s="218"/>
      <c r="G101" s="218"/>
      <c r="H101" s="218"/>
      <c r="I101" s="218"/>
      <c r="J101" s="218"/>
      <c r="K101" s="218"/>
      <c r="L101" s="218"/>
      <c r="M101" s="218"/>
      <c r="N101" s="218"/>
      <c r="O101" s="218"/>
      <c r="P101" s="218"/>
      <c r="Q101" s="218"/>
      <c r="R101" s="218"/>
      <c r="S101" s="219"/>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row>
    <row r="102" spans="1:75" ht="15.95" customHeight="1">
      <c r="A102" s="24"/>
      <c r="B102" s="217"/>
      <c r="C102" s="218"/>
      <c r="D102" s="218"/>
      <c r="E102" s="218"/>
      <c r="F102" s="218"/>
      <c r="G102" s="218"/>
      <c r="H102" s="218"/>
      <c r="I102" s="218"/>
      <c r="J102" s="218"/>
      <c r="K102" s="218"/>
      <c r="L102" s="218"/>
      <c r="M102" s="218"/>
      <c r="N102" s="218"/>
      <c r="O102" s="218"/>
      <c r="P102" s="218"/>
      <c r="Q102" s="218"/>
      <c r="R102" s="218"/>
      <c r="S102" s="219"/>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row>
    <row r="103" spans="1:75" ht="15.95" customHeight="1">
      <c r="A103" s="24"/>
      <c r="B103" s="217"/>
      <c r="C103" s="218"/>
      <c r="D103" s="218"/>
      <c r="E103" s="218"/>
      <c r="F103" s="218"/>
      <c r="G103" s="218"/>
      <c r="H103" s="218"/>
      <c r="I103" s="218"/>
      <c r="J103" s="218"/>
      <c r="K103" s="218"/>
      <c r="L103" s="218"/>
      <c r="M103" s="218"/>
      <c r="N103" s="218"/>
      <c r="O103" s="218"/>
      <c r="P103" s="218"/>
      <c r="Q103" s="218"/>
      <c r="R103" s="218"/>
      <c r="S103" s="219"/>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row>
    <row r="104" spans="1:75" ht="15.95" customHeight="1">
      <c r="A104" s="24"/>
      <c r="B104" s="217"/>
      <c r="C104" s="218"/>
      <c r="D104" s="218"/>
      <c r="E104" s="218"/>
      <c r="F104" s="218"/>
      <c r="G104" s="218"/>
      <c r="H104" s="218"/>
      <c r="I104" s="218"/>
      <c r="J104" s="218"/>
      <c r="K104" s="218"/>
      <c r="L104" s="218"/>
      <c r="M104" s="218"/>
      <c r="N104" s="218"/>
      <c r="O104" s="218"/>
      <c r="P104" s="218"/>
      <c r="Q104" s="218"/>
      <c r="R104" s="218"/>
      <c r="S104" s="219"/>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row>
    <row r="105" spans="1:75" ht="15.95" customHeight="1">
      <c r="A105" s="24"/>
      <c r="B105" s="217"/>
      <c r="C105" s="218"/>
      <c r="D105" s="218"/>
      <c r="E105" s="218"/>
      <c r="F105" s="218"/>
      <c r="G105" s="218"/>
      <c r="H105" s="218"/>
      <c r="I105" s="218"/>
      <c r="J105" s="218"/>
      <c r="K105" s="218"/>
      <c r="L105" s="218"/>
      <c r="M105" s="218"/>
      <c r="N105" s="218"/>
      <c r="O105" s="218"/>
      <c r="P105" s="218"/>
      <c r="Q105" s="218"/>
      <c r="R105" s="218"/>
      <c r="S105" s="219"/>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row>
    <row r="106" spans="1:75" ht="15.95" customHeight="1">
      <c r="A106" s="24"/>
      <c r="B106" s="217"/>
      <c r="C106" s="218"/>
      <c r="D106" s="218"/>
      <c r="E106" s="218"/>
      <c r="F106" s="218"/>
      <c r="G106" s="218"/>
      <c r="H106" s="218"/>
      <c r="I106" s="218"/>
      <c r="J106" s="218"/>
      <c r="K106" s="218"/>
      <c r="L106" s="218"/>
      <c r="M106" s="218"/>
      <c r="N106" s="218"/>
      <c r="O106" s="218"/>
      <c r="P106" s="218"/>
      <c r="Q106" s="218"/>
      <c r="R106" s="218"/>
      <c r="S106" s="219"/>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row>
    <row r="107" spans="1:75" ht="15.95" customHeight="1">
      <c r="A107" s="24"/>
      <c r="B107" s="217"/>
      <c r="C107" s="218"/>
      <c r="D107" s="218"/>
      <c r="E107" s="218"/>
      <c r="F107" s="218"/>
      <c r="G107" s="218"/>
      <c r="H107" s="218"/>
      <c r="I107" s="218"/>
      <c r="J107" s="218"/>
      <c r="K107" s="218"/>
      <c r="L107" s="218"/>
      <c r="M107" s="218"/>
      <c r="N107" s="218"/>
      <c r="O107" s="218"/>
      <c r="P107" s="218"/>
      <c r="Q107" s="218"/>
      <c r="R107" s="218"/>
      <c r="S107" s="219"/>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row>
    <row r="108" spans="1:75" ht="15.95" customHeight="1">
      <c r="A108" s="24"/>
      <c r="B108" s="217"/>
      <c r="C108" s="218"/>
      <c r="D108" s="218"/>
      <c r="E108" s="218"/>
      <c r="F108" s="218"/>
      <c r="G108" s="218"/>
      <c r="H108" s="218"/>
      <c r="I108" s="218"/>
      <c r="J108" s="218"/>
      <c r="K108" s="218"/>
      <c r="L108" s="218"/>
      <c r="M108" s="218"/>
      <c r="N108" s="218"/>
      <c r="O108" s="218"/>
      <c r="P108" s="218"/>
      <c r="Q108" s="218"/>
      <c r="R108" s="218"/>
      <c r="S108" s="219"/>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row>
    <row r="109" spans="1:75" ht="15.95" customHeight="1">
      <c r="A109" s="24"/>
      <c r="B109" s="217"/>
      <c r="C109" s="218"/>
      <c r="D109" s="218"/>
      <c r="E109" s="218"/>
      <c r="F109" s="218"/>
      <c r="G109" s="218"/>
      <c r="H109" s="218"/>
      <c r="I109" s="218"/>
      <c r="J109" s="218"/>
      <c r="K109" s="218"/>
      <c r="L109" s="218"/>
      <c r="M109" s="218"/>
      <c r="N109" s="218"/>
      <c r="O109" s="218"/>
      <c r="P109" s="218"/>
      <c r="Q109" s="218"/>
      <c r="R109" s="218"/>
      <c r="S109" s="219"/>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row>
    <row r="110" spans="1:75" ht="15.95" customHeight="1">
      <c r="A110" s="24"/>
      <c r="B110" s="217"/>
      <c r="C110" s="218"/>
      <c r="D110" s="218"/>
      <c r="E110" s="218"/>
      <c r="F110" s="218"/>
      <c r="G110" s="218"/>
      <c r="H110" s="218"/>
      <c r="I110" s="218"/>
      <c r="J110" s="218"/>
      <c r="K110" s="218"/>
      <c r="L110" s="218"/>
      <c r="M110" s="218"/>
      <c r="N110" s="218"/>
      <c r="O110" s="218"/>
      <c r="P110" s="218"/>
      <c r="Q110" s="218"/>
      <c r="R110" s="218"/>
      <c r="S110" s="219"/>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row>
    <row r="111" spans="1:75" ht="15.95" customHeight="1">
      <c r="A111" s="24"/>
      <c r="B111" s="217"/>
      <c r="C111" s="218"/>
      <c r="D111" s="218"/>
      <c r="E111" s="218"/>
      <c r="F111" s="218"/>
      <c r="G111" s="218"/>
      <c r="H111" s="218"/>
      <c r="I111" s="218"/>
      <c r="J111" s="218"/>
      <c r="K111" s="218"/>
      <c r="L111" s="218"/>
      <c r="M111" s="218"/>
      <c r="N111" s="218"/>
      <c r="O111" s="218"/>
      <c r="P111" s="218"/>
      <c r="Q111" s="218"/>
      <c r="R111" s="218"/>
      <c r="S111" s="219"/>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row>
    <row r="112" spans="1:75" ht="15.95" customHeight="1">
      <c r="A112" s="24"/>
      <c r="B112" s="217"/>
      <c r="C112" s="218"/>
      <c r="D112" s="218"/>
      <c r="E112" s="218"/>
      <c r="F112" s="218"/>
      <c r="G112" s="218"/>
      <c r="H112" s="218"/>
      <c r="I112" s="218"/>
      <c r="J112" s="218"/>
      <c r="K112" s="218"/>
      <c r="L112" s="218"/>
      <c r="M112" s="218"/>
      <c r="N112" s="218"/>
      <c r="O112" s="218"/>
      <c r="P112" s="218"/>
      <c r="Q112" s="218"/>
      <c r="R112" s="218"/>
      <c r="S112" s="219"/>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row>
    <row r="113" spans="1:75" ht="15.95" customHeight="1">
      <c r="A113" s="24"/>
      <c r="B113" s="217"/>
      <c r="C113" s="218"/>
      <c r="D113" s="218"/>
      <c r="E113" s="218"/>
      <c r="F113" s="218"/>
      <c r="G113" s="218"/>
      <c r="H113" s="218"/>
      <c r="I113" s="218"/>
      <c r="J113" s="218"/>
      <c r="K113" s="218"/>
      <c r="L113" s="218"/>
      <c r="M113" s="218"/>
      <c r="N113" s="218"/>
      <c r="O113" s="218"/>
      <c r="P113" s="218"/>
      <c r="Q113" s="218"/>
      <c r="R113" s="218"/>
      <c r="S113" s="219"/>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row>
    <row r="114" spans="1:75" ht="15.95" customHeight="1">
      <c r="A114" s="24"/>
      <c r="B114" s="217"/>
      <c r="C114" s="218"/>
      <c r="D114" s="218"/>
      <c r="E114" s="218"/>
      <c r="F114" s="218"/>
      <c r="G114" s="218"/>
      <c r="H114" s="218"/>
      <c r="I114" s="218"/>
      <c r="J114" s="218"/>
      <c r="K114" s="218"/>
      <c r="L114" s="218"/>
      <c r="M114" s="218"/>
      <c r="N114" s="218"/>
      <c r="O114" s="218"/>
      <c r="P114" s="218"/>
      <c r="Q114" s="218"/>
      <c r="R114" s="218"/>
      <c r="S114" s="219"/>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row>
    <row r="115" spans="1:75" ht="15.95" customHeight="1">
      <c r="A115" s="24"/>
      <c r="B115" s="217"/>
      <c r="C115" s="218"/>
      <c r="D115" s="218"/>
      <c r="E115" s="218"/>
      <c r="F115" s="218"/>
      <c r="G115" s="218"/>
      <c r="H115" s="218"/>
      <c r="I115" s="218"/>
      <c r="J115" s="218"/>
      <c r="K115" s="218"/>
      <c r="L115" s="218"/>
      <c r="M115" s="218"/>
      <c r="N115" s="218"/>
      <c r="O115" s="218"/>
      <c r="P115" s="218"/>
      <c r="Q115" s="218"/>
      <c r="R115" s="218"/>
      <c r="S115" s="219"/>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row>
    <row r="116" spans="1:75" ht="15.95" customHeight="1">
      <c r="A116" s="24"/>
      <c r="B116" s="217"/>
      <c r="C116" s="218"/>
      <c r="D116" s="218"/>
      <c r="E116" s="218"/>
      <c r="F116" s="218"/>
      <c r="G116" s="218"/>
      <c r="H116" s="218"/>
      <c r="I116" s="218"/>
      <c r="J116" s="218"/>
      <c r="K116" s="218"/>
      <c r="L116" s="218"/>
      <c r="M116" s="218"/>
      <c r="N116" s="218"/>
      <c r="O116" s="218"/>
      <c r="P116" s="218"/>
      <c r="Q116" s="218"/>
      <c r="R116" s="218"/>
      <c r="S116" s="219"/>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row>
    <row r="117" spans="1:75" ht="15.95" customHeight="1">
      <c r="A117" s="24"/>
      <c r="B117" s="217"/>
      <c r="C117" s="218"/>
      <c r="D117" s="218"/>
      <c r="E117" s="218"/>
      <c r="F117" s="218"/>
      <c r="G117" s="218"/>
      <c r="H117" s="218"/>
      <c r="I117" s="218"/>
      <c r="J117" s="218"/>
      <c r="K117" s="218"/>
      <c r="L117" s="218"/>
      <c r="M117" s="218"/>
      <c r="N117" s="218"/>
      <c r="O117" s="218"/>
      <c r="P117" s="218"/>
      <c r="Q117" s="218"/>
      <c r="R117" s="218"/>
      <c r="S117" s="219"/>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row>
    <row r="118" spans="1:75" ht="15.95" customHeight="1">
      <c r="A118" s="24"/>
      <c r="B118" s="217"/>
      <c r="C118" s="218"/>
      <c r="D118" s="218"/>
      <c r="E118" s="218"/>
      <c r="F118" s="218"/>
      <c r="G118" s="218"/>
      <c r="H118" s="218"/>
      <c r="I118" s="218"/>
      <c r="J118" s="218"/>
      <c r="K118" s="218"/>
      <c r="L118" s="218"/>
      <c r="M118" s="218"/>
      <c r="N118" s="218"/>
      <c r="O118" s="218"/>
      <c r="P118" s="218"/>
      <c r="Q118" s="218"/>
      <c r="R118" s="218"/>
      <c r="S118" s="219"/>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row>
    <row r="119" spans="1:75" ht="15.95" customHeight="1">
      <c r="A119" s="24"/>
      <c r="B119" s="217"/>
      <c r="C119" s="218"/>
      <c r="D119" s="218"/>
      <c r="E119" s="218"/>
      <c r="F119" s="218"/>
      <c r="G119" s="218"/>
      <c r="H119" s="218"/>
      <c r="I119" s="218"/>
      <c r="J119" s="218"/>
      <c r="K119" s="218"/>
      <c r="L119" s="218"/>
      <c r="M119" s="218"/>
      <c r="N119" s="218"/>
      <c r="O119" s="218"/>
      <c r="P119" s="218"/>
      <c r="Q119" s="218"/>
      <c r="R119" s="218"/>
      <c r="S119" s="219"/>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row>
    <row r="120" spans="1:75" ht="15.95" customHeight="1">
      <c r="A120" s="24"/>
      <c r="B120" s="217"/>
      <c r="C120" s="218"/>
      <c r="D120" s="218"/>
      <c r="E120" s="218"/>
      <c r="F120" s="218"/>
      <c r="G120" s="218"/>
      <c r="H120" s="218"/>
      <c r="I120" s="218"/>
      <c r="J120" s="218"/>
      <c r="K120" s="218"/>
      <c r="L120" s="218"/>
      <c r="M120" s="218"/>
      <c r="N120" s="218"/>
      <c r="O120" s="218"/>
      <c r="P120" s="218"/>
      <c r="Q120" s="218"/>
      <c r="R120" s="218"/>
      <c r="S120" s="219"/>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row>
    <row r="121" spans="1:75" ht="15.95" customHeight="1" thickBot="1">
      <c r="A121" s="24"/>
      <c r="B121" s="220"/>
      <c r="C121" s="221"/>
      <c r="D121" s="221"/>
      <c r="E121" s="221"/>
      <c r="F121" s="221"/>
      <c r="G121" s="221"/>
      <c r="H121" s="221"/>
      <c r="I121" s="221"/>
      <c r="J121" s="221"/>
      <c r="K121" s="221"/>
      <c r="L121" s="221"/>
      <c r="M121" s="221"/>
      <c r="N121" s="221"/>
      <c r="O121" s="221"/>
      <c r="P121" s="221"/>
      <c r="Q121" s="221"/>
      <c r="R121" s="221"/>
      <c r="S121" s="222"/>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row>
    <row r="122" spans="1:75" ht="15.9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row>
    <row r="123" spans="1:75" ht="15.9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row>
    <row r="124" spans="1:75" ht="15.9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row>
    <row r="125" spans="1:75" ht="15.9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row>
    <row r="126" spans="1:75" ht="15.9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row>
    <row r="127" spans="1:75" ht="15.9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row>
    <row r="128" spans="1:75" ht="15.9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row>
    <row r="129" spans="1:75" ht="15.9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row>
    <row r="130" spans="1:75" ht="15.9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row>
    <row r="131" spans="1:75" ht="15.9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row>
    <row r="132" spans="1:75" ht="15.9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row>
    <row r="133" spans="1:75" ht="15.9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row>
    <row r="134" spans="1:75" ht="15.9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row>
    <row r="135" spans="1:75" ht="15.9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row>
    <row r="136" spans="1:75" ht="15.9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row>
    <row r="137" spans="1:75" ht="15.9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row>
    <row r="138" spans="1:75" ht="15.9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row>
    <row r="139" spans="1:75" ht="15.9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row>
    <row r="140" spans="1:75" ht="15.9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row>
    <row r="141" spans="1:75" ht="15.9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row>
    <row r="142" spans="1:75" ht="15.9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row>
    <row r="143" spans="1:75" ht="15.9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row>
    <row r="144" spans="1:75" ht="15.9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row>
    <row r="145" spans="1:75" ht="15.9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row>
    <row r="146" spans="1:75" ht="15.9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row>
    <row r="147" spans="1:75" ht="15.9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row>
    <row r="148" spans="1:75" ht="15.9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row>
    <row r="149" spans="1:75" ht="15.9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row>
    <row r="150" spans="1:75" ht="15.9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row>
    <row r="151" spans="1:75" ht="15.9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row>
    <row r="152" spans="1:75" ht="15.9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row>
    <row r="153" spans="1:75" ht="15.9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row>
    <row r="154" spans="1:75" ht="15.9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row>
    <row r="155" spans="1:75" ht="15.9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row>
    <row r="156" spans="1:75" ht="15.9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row>
    <row r="157" spans="1:75" ht="15.9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row>
    <row r="158" spans="1:75" ht="15.9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row>
    <row r="159" spans="1:75" ht="15.9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row>
    <row r="160" spans="1:75" ht="15.9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row>
    <row r="161" spans="1:75" ht="15.9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row>
    <row r="162" spans="1:75" ht="15.9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row>
    <row r="163" spans="1:75" ht="15.9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row>
    <row r="164" spans="1:75" ht="15.9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row>
    <row r="165" spans="1:75" ht="15.9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row>
    <row r="166" spans="1:75" ht="15.9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row>
    <row r="167" spans="1:75" ht="15.9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row>
    <row r="168" spans="1:75" ht="15.9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row>
    <row r="169" spans="1:75" ht="15.9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row>
    <row r="170" spans="1:75" ht="15.9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row>
    <row r="171" spans="1:75" ht="15.9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row>
    <row r="172" spans="1:75" ht="15.9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row>
    <row r="173" spans="1:75" ht="15.9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row>
    <row r="174" spans="1:75" ht="15.9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row>
    <row r="175" spans="1:75" ht="15.9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row>
    <row r="176" spans="1:75" ht="15.9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row>
    <row r="177" spans="1:75" ht="15.9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row>
    <row r="178" spans="1:75" ht="15.9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row>
    <row r="179" spans="1:75" ht="15.9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row>
    <row r="180" spans="1:75" ht="15.9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row>
    <row r="181" spans="1:75" ht="15.9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row>
    <row r="182" spans="1:75" ht="15.9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row>
    <row r="183" spans="1:75" ht="15.9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row>
    <row r="184" spans="1:75" ht="15.9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row>
    <row r="185" spans="1:75" ht="15.9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row>
    <row r="186" spans="1:75" ht="15.9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row>
    <row r="187" spans="1:75" ht="15.9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row>
    <row r="188" spans="1:75" ht="15.9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row>
    <row r="189" spans="1:75" ht="15.9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row>
    <row r="190" spans="1:75" ht="15.9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row>
    <row r="191" spans="1:75" ht="15.9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row>
    <row r="192" spans="1:75" ht="15.9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row>
    <row r="193" spans="1:75" ht="15.9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row>
    <row r="194" spans="1:75" ht="15.9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row>
    <row r="195" spans="1:75" ht="15.9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row>
    <row r="196" spans="1:75" ht="15.9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row>
    <row r="197" spans="1:75" ht="15.9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row>
    <row r="198" spans="1:75" ht="15.9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row>
    <row r="199" spans="1:75" ht="15.9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row>
    <row r="200" spans="1:75" ht="15.9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row>
    <row r="201" spans="1:75" ht="15.9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row>
    <row r="202" spans="1:75" ht="15.9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row>
    <row r="203" spans="1:75" ht="15.9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row>
    <row r="204" spans="1:75" ht="15.9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row>
    <row r="205" spans="1:75" ht="15.9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row>
    <row r="206" spans="1:75" ht="15.9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row>
    <row r="207" spans="1:75" ht="15.9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row>
    <row r="208" spans="1:75" ht="15.9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c r="AA208"/>
      <c r="AB208" s="40" t="s">
        <v>163</v>
      </c>
      <c r="AC208" s="40" t="s">
        <v>164</v>
      </c>
      <c r="AD208"/>
      <c r="AE208"/>
      <c r="AF208"/>
      <c r="AG208"/>
      <c r="AH208"/>
      <c r="AI208"/>
      <c r="AJ208"/>
      <c r="AK208"/>
      <c r="AL208"/>
      <c r="AM208"/>
      <c r="AN208"/>
      <c r="AO208"/>
      <c r="AP208"/>
      <c r="AQ208"/>
      <c r="AR208"/>
      <c r="AS208"/>
      <c r="AT208"/>
      <c r="AU208"/>
    </row>
    <row r="209" spans="1:175" ht="15.9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125" t="s">
        <v>145</v>
      </c>
      <c r="AA209" s="125"/>
      <c r="AB209" s="125"/>
      <c r="AC209" s="125"/>
      <c r="AD209" s="125"/>
      <c r="AE209" s="125"/>
      <c r="AF209" s="153" t="s">
        <v>146</v>
      </c>
      <c r="AG209" s="153"/>
      <c r="AH209" s="153"/>
      <c r="AI209" s="153"/>
      <c r="AJ209" s="153"/>
      <c r="AK209" s="153"/>
      <c r="AL209" s="153"/>
      <c r="AM209" s="153"/>
      <c r="AN209"/>
      <c r="AP209"/>
      <c r="AQ209"/>
      <c r="AR209"/>
      <c r="AS209"/>
      <c r="AT209"/>
      <c r="AU209"/>
    </row>
    <row r="210" spans="1:175" ht="15.9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126" t="s">
        <v>141</v>
      </c>
      <c r="Y210" s="127" t="s">
        <v>142</v>
      </c>
      <c r="Z210" s="124" t="s">
        <v>162</v>
      </c>
      <c r="AA210" s="124" t="s">
        <v>143</v>
      </c>
      <c r="AB210" s="124" t="s">
        <v>160</v>
      </c>
      <c r="AC210" s="124" t="s">
        <v>144</v>
      </c>
      <c r="AD210" s="124" t="s">
        <v>161</v>
      </c>
      <c r="AE210" s="124" t="s">
        <v>165</v>
      </c>
      <c r="AF210" s="124" t="s">
        <v>166</v>
      </c>
      <c r="AG210" s="124" t="s">
        <v>143</v>
      </c>
      <c r="AH210" s="124" t="s">
        <v>160</v>
      </c>
      <c r="AI210" s="124" t="s">
        <v>169</v>
      </c>
      <c r="AJ210" s="124" t="s">
        <v>144</v>
      </c>
      <c r="AK210" s="124" t="s">
        <v>161</v>
      </c>
      <c r="AL210" s="124" t="s">
        <v>167</v>
      </c>
      <c r="AM210" s="124" t="s">
        <v>168</v>
      </c>
      <c r="AP210"/>
      <c r="AQ210"/>
      <c r="AR210"/>
      <c r="AS210"/>
      <c r="AT210"/>
      <c r="AU210"/>
    </row>
    <row r="211" spans="1:175" ht="15.95" customHeight="1">
      <c r="I211" s="24"/>
      <c r="J211" s="24"/>
      <c r="K211" s="24"/>
      <c r="L211" s="24"/>
      <c r="M211" s="24"/>
      <c r="N211" s="24"/>
      <c r="O211" s="24"/>
      <c r="P211" s="24"/>
      <c r="Q211" s="24"/>
      <c r="R211" s="24"/>
      <c r="S211" s="24"/>
      <c r="T211" s="24"/>
      <c r="U211" s="24"/>
      <c r="V211" s="24"/>
      <c r="W211" s="24"/>
      <c r="X211" s="126"/>
      <c r="Y211" s="127"/>
      <c r="Z211" s="124"/>
      <c r="AA211" s="124"/>
      <c r="AB211" s="124"/>
      <c r="AC211" s="124"/>
      <c r="AD211" s="124"/>
      <c r="AE211" s="124"/>
      <c r="AF211" s="124"/>
      <c r="AG211" s="124"/>
      <c r="AH211" s="124"/>
      <c r="AI211" s="124"/>
      <c r="AJ211" s="124"/>
      <c r="AK211" s="124"/>
      <c r="AL211" s="124"/>
      <c r="AM211" s="124"/>
      <c r="AP211"/>
      <c r="AQ211"/>
      <c r="AR211"/>
      <c r="AS211" s="223" t="s">
        <v>6</v>
      </c>
      <c r="AT211" s="223"/>
      <c r="AU211" s="223"/>
      <c r="AV211" s="223"/>
      <c r="AW211" s="223"/>
      <c r="AX211" s="223"/>
      <c r="AY211" s="223"/>
      <c r="AZ211" s="223"/>
      <c r="BA211" s="223"/>
      <c r="BB211" s="223"/>
      <c r="BC211" s="33"/>
      <c r="BD211" s="224" t="s">
        <v>7</v>
      </c>
      <c r="BE211" s="224"/>
      <c r="BF211" s="224"/>
      <c r="BG211" s="224"/>
      <c r="BH211" s="224"/>
      <c r="BI211" s="224"/>
      <c r="BJ211" s="224"/>
      <c r="BK211" s="224"/>
      <c r="BL211" s="224"/>
      <c r="BM211" s="224"/>
      <c r="BN211" s="33"/>
      <c r="BO211" s="225" t="s">
        <v>73</v>
      </c>
      <c r="BP211" s="225"/>
      <c r="BQ211" s="225"/>
      <c r="BR211" s="225"/>
      <c r="BS211" s="225"/>
      <c r="BT211" s="225"/>
      <c r="BU211" s="225"/>
      <c r="BV211" s="225"/>
      <c r="BW211" s="225"/>
      <c r="BX211" s="225"/>
      <c r="BZ211" s="213" t="s">
        <v>74</v>
      </c>
      <c r="CA211" s="213"/>
      <c r="CB211" s="213"/>
      <c r="CC211" s="213"/>
      <c r="CD211" s="213"/>
      <c r="CE211" s="213"/>
      <c r="CF211" s="213"/>
      <c r="CG211" s="213"/>
      <c r="CH211" s="213"/>
      <c r="CI211" s="213"/>
      <c r="CK211" s="212" t="s">
        <v>147</v>
      </c>
      <c r="CL211" s="212"/>
      <c r="CM211" s="212"/>
      <c r="CN211" s="212"/>
      <c r="CO211" s="212"/>
      <c r="CP211" s="212"/>
      <c r="CQ211" s="212"/>
      <c r="CR211" s="212"/>
      <c r="CS211" s="212"/>
      <c r="CT211" s="212"/>
      <c r="CV211" s="227" t="s">
        <v>148</v>
      </c>
      <c r="CW211" s="227"/>
      <c r="CX211" s="227"/>
      <c r="CY211" s="227"/>
      <c r="CZ211" s="227"/>
      <c r="DA211" s="227"/>
      <c r="DB211" s="227"/>
      <c r="DC211" s="227"/>
      <c r="DD211" s="227"/>
      <c r="DE211" s="227"/>
      <c r="DG211" s="228" t="s">
        <v>149</v>
      </c>
      <c r="DH211" s="228"/>
      <c r="DI211" s="228"/>
      <c r="DJ211" s="228"/>
      <c r="DK211" s="228"/>
      <c r="DL211" s="228"/>
      <c r="DM211" s="228"/>
      <c r="DN211" s="228"/>
      <c r="DO211" s="228"/>
      <c r="DP211" s="228"/>
      <c r="DR211" s="229" t="s">
        <v>150</v>
      </c>
      <c r="DS211" s="229"/>
      <c r="DT211" s="229"/>
      <c r="DU211" s="229"/>
      <c r="DV211" s="229"/>
      <c r="DW211" s="229"/>
      <c r="DX211" s="229"/>
      <c r="DY211" s="229"/>
      <c r="DZ211" s="229"/>
      <c r="EA211" s="229"/>
      <c r="EC211" s="230" t="s">
        <v>151</v>
      </c>
      <c r="ED211" s="230"/>
      <c r="EE211" s="230"/>
      <c r="EF211" s="230"/>
      <c r="EG211" s="230"/>
      <c r="EH211" s="230"/>
      <c r="EI211" s="230"/>
      <c r="EJ211" s="230"/>
      <c r="EK211" s="230"/>
      <c r="EL211" s="230"/>
      <c r="EN211" s="226" t="s">
        <v>152</v>
      </c>
      <c r="EO211" s="226"/>
      <c r="EP211" s="226"/>
      <c r="EQ211" s="226"/>
      <c r="ER211" s="226"/>
      <c r="ES211" s="226"/>
      <c r="ET211" s="226"/>
      <c r="EU211" s="226"/>
      <c r="EV211" s="226"/>
      <c r="EW211" s="226"/>
      <c r="EY211" s="212" t="s">
        <v>184</v>
      </c>
      <c r="EZ211" s="212"/>
      <c r="FA211" s="212"/>
      <c r="FB211" s="212"/>
      <c r="FC211" s="212"/>
      <c r="FD211" s="212"/>
      <c r="FE211" s="212"/>
      <c r="FF211" s="212"/>
      <c r="FG211" s="212"/>
      <c r="FH211" s="212"/>
      <c r="FJ211" s="213" t="s">
        <v>185</v>
      </c>
      <c r="FK211" s="213"/>
      <c r="FL211" s="213"/>
      <c r="FM211" s="213"/>
      <c r="FN211" s="213"/>
      <c r="FO211" s="213"/>
      <c r="FP211" s="213"/>
      <c r="FQ211" s="213"/>
      <c r="FR211" s="213"/>
      <c r="FS211" s="213"/>
    </row>
    <row r="212" spans="1:175" ht="15.95" customHeight="1">
      <c r="B212" s="8" t="s">
        <v>6</v>
      </c>
      <c r="C212" s="8" t="s">
        <v>7</v>
      </c>
      <c r="D212" s="8" t="s">
        <v>73</v>
      </c>
      <c r="E212" s="8" t="s">
        <v>74</v>
      </c>
      <c r="F212" s="8" t="s">
        <v>147</v>
      </c>
      <c r="G212" s="8" t="s">
        <v>148</v>
      </c>
      <c r="H212" s="8" t="s">
        <v>149</v>
      </c>
      <c r="I212" s="8" t="s">
        <v>150</v>
      </c>
      <c r="J212" s="8" t="s">
        <v>151</v>
      </c>
      <c r="K212" s="8" t="s">
        <v>152</v>
      </c>
      <c r="L212" s="8" t="s">
        <v>184</v>
      </c>
      <c r="M212" s="8" t="s">
        <v>185</v>
      </c>
      <c r="N212" s="8" t="s">
        <v>9</v>
      </c>
      <c r="O212" s="9" t="s">
        <v>11</v>
      </c>
      <c r="P212" s="10" t="s">
        <v>23</v>
      </c>
      <c r="Q212" s="11" t="s">
        <v>12</v>
      </c>
      <c r="R212" s="12" t="s">
        <v>21</v>
      </c>
      <c r="S212" s="9" t="s">
        <v>22</v>
      </c>
      <c r="T212" s="13" t="s">
        <v>19</v>
      </c>
      <c r="U212" s="7" t="s">
        <v>20</v>
      </c>
      <c r="X212" s="126"/>
      <c r="Y212" s="127"/>
      <c r="Z212" s="124"/>
      <c r="AA212" s="124"/>
      <c r="AB212" s="124"/>
      <c r="AC212" s="124"/>
      <c r="AD212" s="124"/>
      <c r="AE212" s="124"/>
      <c r="AF212" s="124"/>
      <c r="AG212" s="124"/>
      <c r="AH212" s="124"/>
      <c r="AI212" s="124"/>
      <c r="AJ212" s="124"/>
      <c r="AK212" s="124"/>
      <c r="AL212" s="124"/>
      <c r="AM212" s="124"/>
      <c r="AP212"/>
      <c r="AQ212"/>
      <c r="AR212"/>
      <c r="AS212" t="s">
        <v>118</v>
      </c>
      <c r="AT212" t="s">
        <v>119</v>
      </c>
      <c r="AU212" t="s">
        <v>120</v>
      </c>
      <c r="AV212" t="s">
        <v>121</v>
      </c>
      <c r="AW212" t="s">
        <v>122</v>
      </c>
      <c r="AX212" t="s">
        <v>123</v>
      </c>
      <c r="AY212" t="s">
        <v>124</v>
      </c>
      <c r="AZ212" t="s">
        <v>125</v>
      </c>
      <c r="BA212" t="s">
        <v>126</v>
      </c>
      <c r="BB212" t="s">
        <v>127</v>
      </c>
      <c r="BD212" t="s">
        <v>118</v>
      </c>
      <c r="BE212" t="s">
        <v>119</v>
      </c>
      <c r="BF212" t="s">
        <v>120</v>
      </c>
      <c r="BG212" t="s">
        <v>121</v>
      </c>
      <c r="BH212" t="s">
        <v>122</v>
      </c>
      <c r="BI212" t="s">
        <v>123</v>
      </c>
      <c r="BJ212" t="s">
        <v>124</v>
      </c>
      <c r="BK212" t="s">
        <v>125</v>
      </c>
      <c r="BL212" t="s">
        <v>126</v>
      </c>
      <c r="BM212" t="s">
        <v>127</v>
      </c>
      <c r="BO212" t="s">
        <v>118</v>
      </c>
      <c r="BP212" t="s">
        <v>119</v>
      </c>
      <c r="BQ212" t="s">
        <v>120</v>
      </c>
      <c r="BR212" t="s">
        <v>121</v>
      </c>
      <c r="BS212" t="s">
        <v>122</v>
      </c>
      <c r="BT212" t="s">
        <v>123</v>
      </c>
      <c r="BU212" t="s">
        <v>124</v>
      </c>
      <c r="BV212" t="s">
        <v>125</v>
      </c>
      <c r="BW212" t="s">
        <v>126</v>
      </c>
      <c r="BX212" t="s">
        <v>127</v>
      </c>
      <c r="BZ212" t="s">
        <v>118</v>
      </c>
      <c r="CA212" t="s">
        <v>119</v>
      </c>
      <c r="CB212" t="s">
        <v>120</v>
      </c>
      <c r="CC212" t="s">
        <v>121</v>
      </c>
      <c r="CD212" t="s">
        <v>122</v>
      </c>
      <c r="CE212" t="s">
        <v>123</v>
      </c>
      <c r="CF212" t="s">
        <v>124</v>
      </c>
      <c r="CG212" t="s">
        <v>125</v>
      </c>
      <c r="CH212" t="s">
        <v>126</v>
      </c>
      <c r="CI212" t="s">
        <v>127</v>
      </c>
      <c r="CK212" t="s">
        <v>118</v>
      </c>
      <c r="CL212" t="s">
        <v>119</v>
      </c>
      <c r="CM212" t="s">
        <v>120</v>
      </c>
      <c r="CN212" t="s">
        <v>121</v>
      </c>
      <c r="CO212" t="s">
        <v>122</v>
      </c>
      <c r="CP212" t="s">
        <v>123</v>
      </c>
      <c r="CQ212" t="s">
        <v>124</v>
      </c>
      <c r="CR212" t="s">
        <v>125</v>
      </c>
      <c r="CS212" t="s">
        <v>126</v>
      </c>
      <c r="CT212" t="s">
        <v>127</v>
      </c>
      <c r="CV212" t="s">
        <v>118</v>
      </c>
      <c r="CW212" t="s">
        <v>119</v>
      </c>
      <c r="CX212" t="s">
        <v>120</v>
      </c>
      <c r="CY212" t="s">
        <v>121</v>
      </c>
      <c r="CZ212" t="s">
        <v>122</v>
      </c>
      <c r="DA212" t="s">
        <v>123</v>
      </c>
      <c r="DB212" t="s">
        <v>124</v>
      </c>
      <c r="DC212" t="s">
        <v>125</v>
      </c>
      <c r="DD212" t="s">
        <v>126</v>
      </c>
      <c r="DE212" t="s">
        <v>127</v>
      </c>
    </row>
    <row r="213" spans="1:175" ht="15.95" customHeight="1">
      <c r="B213" s="6">
        <f t="shared" ref="B213:B226" si="0">AS213+AT213*$B$15+AU213*$B$15^2+AV213*$B$15^3+AW213*$B$15^4+AX213*$B$15^5+AY213*$B$15^6+AZ213*$B$15^7+BA213*$B$15^8+BB213*$B$15^9</f>
        <v>-0.99213330599383198</v>
      </c>
      <c r="C213" s="6">
        <f t="shared" ref="C213:C226" si="1">BD213+BE213*$B$15+BF213*$B$15^2+BG213*$B$15^3+BH213*$B$15^4+BI213*$B$15^5+BJ213*$B$15^6+BK213*$B$15^7+BL213*$B$15^8+BM213*$B$15^9</f>
        <v>0.38409051859275151</v>
      </c>
      <c r="E213"/>
      <c r="F213" s="3"/>
      <c r="G213"/>
      <c r="H213" s="5"/>
      <c r="N213" s="2">
        <v>1</v>
      </c>
      <c r="O213" s="2" t="s">
        <v>42</v>
      </c>
      <c r="P213" s="4">
        <v>1.008</v>
      </c>
      <c r="Q213" s="26">
        <v>0</v>
      </c>
      <c r="R213" s="6">
        <f>IF($B$15&lt;6.69,B213,C213)</f>
        <v>0.38409051859275151</v>
      </c>
      <c r="S213" s="6">
        <f t="shared" ref="S213:S254" si="2">$B$22*$Q213*$P213</f>
        <v>0</v>
      </c>
      <c r="T213" s="6" t="e">
        <f t="shared" ref="T213:T254" si="3">S213/$S$296*100</f>
        <v>#DIV/0!</v>
      </c>
      <c r="U213" s="6" t="e">
        <f t="shared" ref="U213:U227" si="4">T213/100*R213</f>
        <v>#DIV/0!</v>
      </c>
      <c r="V213" s="49" t="s">
        <v>188</v>
      </c>
      <c r="W213" s="3"/>
      <c r="X213">
        <v>1</v>
      </c>
      <c r="Y213" s="3" t="e">
        <f>((-LN(X213))/$M$22)*10000</f>
        <v>#DIV/0!</v>
      </c>
      <c r="Z213" s="36" t="e">
        <f>Y213*SIN($F$15*PI()/180)</f>
        <v>#DIV/0!</v>
      </c>
      <c r="AA213" s="3" t="e">
        <f t="shared" ref="AA213:AA244" si="5">Z213/SIN((0.5*$H$15*PI()/180))</f>
        <v>#DIV/0!</v>
      </c>
      <c r="AB213" s="36" t="e">
        <f>X213*EXP(-($M$22/10000)*AA213)*100</f>
        <v>#DIV/0!</v>
      </c>
      <c r="AC213" s="3" t="e">
        <f>Z213/SIN((0.5*$J$15*PI()/180))</f>
        <v>#DIV/0!</v>
      </c>
      <c r="AD213" s="36" t="e">
        <f>X213*EXP(-($M$22/10000)*AC213)*100</f>
        <v>#DIV/0!</v>
      </c>
      <c r="AE213" s="36">
        <v>0</v>
      </c>
      <c r="AF213" s="36" t="e">
        <f t="shared" ref="AF213:AF244" si="6">Y213*SIN($H$15/2*PI()/180)</f>
        <v>#DIV/0!</v>
      </c>
      <c r="AG213" s="3" t="e">
        <f t="shared" ref="AG213:AG244" si="7">AF213/SIN((0.5*$H$15*PI()/180))</f>
        <v>#DIV/0!</v>
      </c>
      <c r="AH213" s="36" t="e">
        <f>X213*EXP(-($M$22/10000)*AG213)*100</f>
        <v>#DIV/0!</v>
      </c>
      <c r="AI213" s="36" t="e">
        <f>Y213*SIN($J$15/2*PI()/180)</f>
        <v>#DIV/0!</v>
      </c>
      <c r="AJ213" s="3" t="e">
        <f>AI213/SIN((0.5*$J$15*PI()/180))</f>
        <v>#DIV/0!</v>
      </c>
      <c r="AK213" s="36" t="e">
        <f>X213*EXP(-($M$22/10000)*AJ213)*100</f>
        <v>#DIV/0!</v>
      </c>
      <c r="AL213" s="36">
        <v>0</v>
      </c>
      <c r="AM213" s="36">
        <v>0</v>
      </c>
      <c r="AP213" s="32">
        <v>1</v>
      </c>
      <c r="AQ213" s="1" t="s">
        <v>42</v>
      </c>
      <c r="AR213"/>
      <c r="AS213">
        <v>9.9821500000000007</v>
      </c>
      <c r="AT213">
        <v>-10.191929999999999</v>
      </c>
      <c r="AU213">
        <v>4.3884100000000004</v>
      </c>
      <c r="AV213">
        <v>-0.94613000000000003</v>
      </c>
      <c r="AW213">
        <v>0.10135</v>
      </c>
      <c r="AX213">
        <v>-4.3E-3</v>
      </c>
      <c r="AY213" s="5"/>
      <c r="AZ213" s="5"/>
      <c r="BA213" s="5"/>
      <c r="BB213" s="5"/>
      <c r="BC213" s="5"/>
      <c r="BD213">
        <v>0.44496000000000002</v>
      </c>
      <c r="BE213">
        <v>-3.3230000000000003E-2</v>
      </c>
      <c r="BF213">
        <v>5.8599999999999998E-3</v>
      </c>
      <c r="BG213" s="31">
        <v>-4.44282E-4</v>
      </c>
      <c r="BH213" s="31">
        <v>1.5692599999999999E-5</v>
      </c>
      <c r="BI213" s="31">
        <v>-2.14152E-7</v>
      </c>
      <c r="BJ213" s="5"/>
      <c r="BK213" s="5"/>
      <c r="BL213" s="5"/>
      <c r="BM213" s="5"/>
      <c r="BN213" s="5"/>
    </row>
    <row r="214" spans="1:175" ht="15.95" customHeight="1">
      <c r="B214" s="6">
        <f t="shared" si="0"/>
        <v>-4.4920475765135279</v>
      </c>
      <c r="C214" s="6">
        <f t="shared" si="1"/>
        <v>0.27318475712892104</v>
      </c>
      <c r="E214"/>
      <c r="F214" s="3"/>
      <c r="G214"/>
      <c r="H214" s="5"/>
      <c r="N214" s="2">
        <v>2</v>
      </c>
      <c r="O214" s="2" t="s">
        <v>43</v>
      </c>
      <c r="P214" s="4">
        <v>4.0030000000000001</v>
      </c>
      <c r="Q214" s="26">
        <f>S28</f>
        <v>0</v>
      </c>
      <c r="R214" s="6">
        <f>IF($B$15&lt;7.15,B214,C214)</f>
        <v>0.27318475712892104</v>
      </c>
      <c r="S214" s="6">
        <f t="shared" si="2"/>
        <v>0</v>
      </c>
      <c r="T214" s="6" t="e">
        <f t="shared" si="3"/>
        <v>#DIV/0!</v>
      </c>
      <c r="U214" s="6" t="e">
        <f t="shared" si="4"/>
        <v>#DIV/0!</v>
      </c>
      <c r="V214" s="49" t="s">
        <v>188</v>
      </c>
      <c r="W214" s="3"/>
      <c r="X214">
        <v>0.995</v>
      </c>
      <c r="Y214" s="3" t="e">
        <f>((-LN(X214))/$M$22)*10000</f>
        <v>#DIV/0!</v>
      </c>
      <c r="Z214" s="36" t="e">
        <f>Y214*SIN($F$15*PI()/180)</f>
        <v>#DIV/0!</v>
      </c>
      <c r="AA214" s="3" t="e">
        <f t="shared" si="5"/>
        <v>#DIV/0!</v>
      </c>
      <c r="AB214" s="36" t="e">
        <f t="shared" ref="AB214:AB277" si="8">X214*EXP(-($M$22/10000)*AA214)*100</f>
        <v>#DIV/0!</v>
      </c>
      <c r="AC214" s="3" t="e">
        <f t="shared" ref="AC214:AC277" si="9">Z214/SIN((0.5*$J$15*PI()/180))</f>
        <v>#DIV/0!</v>
      </c>
      <c r="AD214" s="36" t="e">
        <f t="shared" ref="AD214:AD277" si="10">X214*EXP(-($M$22/10000)*AC214)*100</f>
        <v>#DIV/0!</v>
      </c>
      <c r="AE214" s="36" t="e">
        <f t="shared" ref="AE214:AE245" si="11">Z214*(-1)</f>
        <v>#DIV/0!</v>
      </c>
      <c r="AF214" s="36" t="e">
        <f t="shared" si="6"/>
        <v>#DIV/0!</v>
      </c>
      <c r="AG214" s="3" t="e">
        <f t="shared" si="7"/>
        <v>#DIV/0!</v>
      </c>
      <c r="AH214" s="36" t="e">
        <f t="shared" ref="AH214:AH277" si="12">X214*EXP(-($M$22/10000)*AG214)*100</f>
        <v>#DIV/0!</v>
      </c>
      <c r="AI214" s="36" t="e">
        <f>Y214*SIN($J$15/2*PI()/180)</f>
        <v>#DIV/0!</v>
      </c>
      <c r="AJ214" s="3" t="e">
        <f t="shared" ref="AJ214:AJ277" si="13">AI214/SIN((0.5*$J$15*PI()/180))</f>
        <v>#DIV/0!</v>
      </c>
      <c r="AK214" s="36" t="e">
        <f t="shared" ref="AK214:AK277" si="14">X214*EXP(-($M$22/10000)*AJ214)*100</f>
        <v>#DIV/0!</v>
      </c>
      <c r="AL214" s="36" t="e">
        <f t="shared" ref="AL214:AL245" si="15">AF214*(-1)</f>
        <v>#DIV/0!</v>
      </c>
      <c r="AM214" s="36" t="e">
        <f>AI214*(-1)</f>
        <v>#DIV/0!</v>
      </c>
      <c r="AP214" s="32">
        <v>2</v>
      </c>
      <c r="AQ214" s="1" t="s">
        <v>43</v>
      </c>
      <c r="AR214"/>
      <c r="AS214">
        <v>79.175600000000003</v>
      </c>
      <c r="AT214">
        <v>-80.767240000000001</v>
      </c>
      <c r="AU214">
        <v>33.518430000000002</v>
      </c>
      <c r="AV214">
        <v>-6.9371400000000003</v>
      </c>
      <c r="AW214">
        <v>0.71036999999999995</v>
      </c>
      <c r="AX214">
        <v>-2.869E-2</v>
      </c>
      <c r="AY214" s="5"/>
      <c r="AZ214" s="5"/>
      <c r="BA214" s="5"/>
      <c r="BB214" s="5"/>
      <c r="BC214" s="5"/>
      <c r="BD214">
        <v>1.54318</v>
      </c>
      <c r="BE214">
        <v>-0.41411999999999999</v>
      </c>
      <c r="BF214">
        <v>5.2999999999999999E-2</v>
      </c>
      <c r="BG214">
        <v>-3.4299999999999999E-3</v>
      </c>
      <c r="BH214" s="31">
        <v>1.11198E-4</v>
      </c>
      <c r="BI214" s="31">
        <v>-1.43707E-6</v>
      </c>
      <c r="BJ214" s="5"/>
      <c r="BK214" s="5"/>
      <c r="BL214" s="5"/>
      <c r="BM214" s="5"/>
      <c r="BN214" s="5"/>
    </row>
    <row r="215" spans="1:175" ht="15.95" customHeight="1">
      <c r="B215" s="6">
        <f t="shared" si="0"/>
        <v>-79.874531407896029</v>
      </c>
      <c r="C215" s="6">
        <f t="shared" si="1"/>
        <v>0.47047304985053401</v>
      </c>
      <c r="E215"/>
      <c r="F215" s="3"/>
      <c r="G215"/>
      <c r="H215" s="5"/>
      <c r="N215" s="2">
        <v>3</v>
      </c>
      <c r="O215" s="2" t="s">
        <v>44</v>
      </c>
      <c r="P215" s="4">
        <v>6.9409999999999998</v>
      </c>
      <c r="Q215" s="26">
        <f>B30</f>
        <v>0</v>
      </c>
      <c r="R215" s="6">
        <f>IF($B$15&lt;6.26,B215,C215)</f>
        <v>0.47047304985053401</v>
      </c>
      <c r="S215" s="6">
        <f t="shared" si="2"/>
        <v>0</v>
      </c>
      <c r="T215" s="6" t="e">
        <f t="shared" si="3"/>
        <v>#DIV/0!</v>
      </c>
      <c r="U215" s="6" t="e">
        <f t="shared" si="4"/>
        <v>#DIV/0!</v>
      </c>
      <c r="V215" s="49" t="s">
        <v>188</v>
      </c>
      <c r="W215" s="3"/>
      <c r="X215">
        <v>0.99</v>
      </c>
      <c r="Y215" s="3" t="e">
        <f>((-LN(X215))/$M$22)*10000</f>
        <v>#DIV/0!</v>
      </c>
      <c r="Z215" s="36" t="e">
        <f t="shared" ref="Z215:Z277" si="16">Y215*SIN($F$15*PI()/180)</f>
        <v>#DIV/0!</v>
      </c>
      <c r="AA215" s="3" t="e">
        <f t="shared" si="5"/>
        <v>#DIV/0!</v>
      </c>
      <c r="AB215" s="36" t="e">
        <f t="shared" si="8"/>
        <v>#DIV/0!</v>
      </c>
      <c r="AC215" s="3" t="e">
        <f t="shared" si="9"/>
        <v>#DIV/0!</v>
      </c>
      <c r="AD215" s="36" t="e">
        <f t="shared" si="10"/>
        <v>#DIV/0!</v>
      </c>
      <c r="AE215" s="36" t="e">
        <f t="shared" si="11"/>
        <v>#DIV/0!</v>
      </c>
      <c r="AF215" s="36" t="e">
        <f t="shared" si="6"/>
        <v>#DIV/0!</v>
      </c>
      <c r="AG215" s="3" t="e">
        <f t="shared" si="7"/>
        <v>#DIV/0!</v>
      </c>
      <c r="AH215" s="36" t="e">
        <f t="shared" si="12"/>
        <v>#DIV/0!</v>
      </c>
      <c r="AI215" s="36" t="e">
        <f t="shared" ref="AI215:AI277" si="17">Y215*SIN($J$15/2*PI()/180)</f>
        <v>#DIV/0!</v>
      </c>
      <c r="AJ215" s="3" t="e">
        <f>AI215/SIN((0.5*$J$15*PI()/180))</f>
        <v>#DIV/0!</v>
      </c>
      <c r="AK215" s="36" t="e">
        <f t="shared" si="14"/>
        <v>#DIV/0!</v>
      </c>
      <c r="AL215" s="36" t="e">
        <f t="shared" si="15"/>
        <v>#DIV/0!</v>
      </c>
      <c r="AM215" s="36" t="e">
        <f t="shared" ref="AM215:AM278" si="18">AI215*(-1)</f>
        <v>#DIV/0!</v>
      </c>
      <c r="AP215" s="32">
        <v>3</v>
      </c>
      <c r="AQ215" s="1" t="s">
        <v>44</v>
      </c>
      <c r="AR215"/>
      <c r="AS215">
        <v>316.09942000000001</v>
      </c>
      <c r="AT215">
        <v>-342.21569</v>
      </c>
      <c r="AU215">
        <v>152.63899000000001</v>
      </c>
      <c r="AV215">
        <v>-34.330370000000002</v>
      </c>
      <c r="AW215">
        <v>3.8533599999999999</v>
      </c>
      <c r="AX215">
        <v>-0.17174</v>
      </c>
      <c r="AY215" s="5"/>
      <c r="AZ215" s="5"/>
      <c r="BA215" s="5"/>
      <c r="BB215" s="5"/>
      <c r="BC215" s="5"/>
      <c r="BD215">
        <v>7.1869500000000004</v>
      </c>
      <c r="BE215">
        <v>-2.2787199999999999</v>
      </c>
      <c r="BF215">
        <v>0.30514999999999998</v>
      </c>
      <c r="BG215">
        <v>-2.061E-2</v>
      </c>
      <c r="BH215" s="31">
        <v>6.9496499999999997E-4</v>
      </c>
      <c r="BI215" s="31">
        <v>-9.3032499999999994E-6</v>
      </c>
      <c r="BJ215" s="5"/>
      <c r="BK215" s="5"/>
      <c r="BL215" s="5"/>
      <c r="BM215" s="5"/>
      <c r="BN215" s="5"/>
    </row>
    <row r="216" spans="1:175" ht="15.95" customHeight="1">
      <c r="B216" s="6">
        <f t="shared" si="0"/>
        <v>-98.151552490035101</v>
      </c>
      <c r="C216" s="6">
        <f t="shared" si="1"/>
        <v>1.0316168400114289</v>
      </c>
      <c r="E216"/>
      <c r="F216" s="3"/>
      <c r="G216"/>
      <c r="H216" s="5"/>
      <c r="N216" s="2">
        <v>4</v>
      </c>
      <c r="O216" s="2" t="s">
        <v>45</v>
      </c>
      <c r="P216" s="4">
        <v>9.0121800000000007</v>
      </c>
      <c r="Q216" s="26">
        <f>C30</f>
        <v>0</v>
      </c>
      <c r="R216" s="6">
        <f>IF($B$15&lt;6.69,B216,C216)</f>
        <v>1.0316168400114289</v>
      </c>
      <c r="S216" s="6">
        <f t="shared" si="2"/>
        <v>0</v>
      </c>
      <c r="T216" s="6" t="e">
        <f t="shared" si="3"/>
        <v>#DIV/0!</v>
      </c>
      <c r="U216" s="6" t="e">
        <f t="shared" si="4"/>
        <v>#DIV/0!</v>
      </c>
      <c r="V216" s="49" t="s">
        <v>188</v>
      </c>
      <c r="W216" s="3"/>
      <c r="X216">
        <v>0.98499999999999999</v>
      </c>
      <c r="Y216" s="3" t="e">
        <f>((-LN(X216))/$M$22)*10000</f>
        <v>#DIV/0!</v>
      </c>
      <c r="Z216" s="36" t="e">
        <f>Y216*SIN($F$15*PI()/180)</f>
        <v>#DIV/0!</v>
      </c>
      <c r="AA216" s="3" t="e">
        <f t="shared" si="5"/>
        <v>#DIV/0!</v>
      </c>
      <c r="AB216" s="36" t="e">
        <f t="shared" si="8"/>
        <v>#DIV/0!</v>
      </c>
      <c r="AC216" s="3" t="e">
        <f t="shared" si="9"/>
        <v>#DIV/0!</v>
      </c>
      <c r="AD216" s="36" t="e">
        <f t="shared" si="10"/>
        <v>#DIV/0!</v>
      </c>
      <c r="AE216" s="36" t="e">
        <f t="shared" si="11"/>
        <v>#DIV/0!</v>
      </c>
      <c r="AF216" s="36" t="e">
        <f t="shared" si="6"/>
        <v>#DIV/0!</v>
      </c>
      <c r="AG216" s="3" t="e">
        <f t="shared" si="7"/>
        <v>#DIV/0!</v>
      </c>
      <c r="AH216" s="36" t="e">
        <f t="shared" si="12"/>
        <v>#DIV/0!</v>
      </c>
      <c r="AI216" s="36" t="e">
        <f t="shared" si="17"/>
        <v>#DIV/0!</v>
      </c>
      <c r="AJ216" s="3" t="e">
        <f t="shared" si="13"/>
        <v>#DIV/0!</v>
      </c>
      <c r="AK216" s="36" t="e">
        <f t="shared" si="14"/>
        <v>#DIV/0!</v>
      </c>
      <c r="AL216" s="36" t="e">
        <f t="shared" si="15"/>
        <v>#DIV/0!</v>
      </c>
      <c r="AM216" s="36" t="e">
        <f t="shared" si="18"/>
        <v>#DIV/0!</v>
      </c>
      <c r="AP216" s="32">
        <v>4</v>
      </c>
      <c r="AQ216" s="1" t="s">
        <v>45</v>
      </c>
      <c r="AR216"/>
      <c r="AS216">
        <v>807.18092999999999</v>
      </c>
      <c r="AT216">
        <v>-835.64278999999999</v>
      </c>
      <c r="AU216" s="31">
        <v>355.44956999999999</v>
      </c>
      <c r="AV216" s="31">
        <v>-76.056020000000004</v>
      </c>
      <c r="AW216">
        <v>8.1034400000000009</v>
      </c>
      <c r="AX216">
        <v>-0.34216000000000002</v>
      </c>
      <c r="AY216" s="5"/>
      <c r="AZ216" s="5"/>
      <c r="BA216" s="5"/>
      <c r="BB216" s="5"/>
      <c r="BC216" s="5"/>
      <c r="BD216">
        <v>18.383590000000002</v>
      </c>
      <c r="BE216">
        <v>-5.7244200000000003</v>
      </c>
      <c r="BF216">
        <v>0.74407999999999996</v>
      </c>
      <c r="BG216">
        <v>-4.895E-2</v>
      </c>
      <c r="BH216">
        <v>1.6100000000000001E-3</v>
      </c>
      <c r="BI216" s="31">
        <v>-2.1152E-5</v>
      </c>
      <c r="BJ216" s="5"/>
      <c r="BK216" s="5"/>
      <c r="BL216" s="5"/>
      <c r="BM216" s="5"/>
      <c r="BN216" s="5"/>
    </row>
    <row r="217" spans="1:175" ht="15.95" customHeight="1">
      <c r="B217" s="6">
        <f t="shared" si="0"/>
        <v>-81.458999664311705</v>
      </c>
      <c r="C217" s="6">
        <f t="shared" si="1"/>
        <v>2.1949398260775217</v>
      </c>
      <c r="E217"/>
      <c r="F217" s="3"/>
      <c r="G217"/>
      <c r="H217" s="5"/>
      <c r="N217" s="2">
        <v>5</v>
      </c>
      <c r="O217" s="2" t="s">
        <v>46</v>
      </c>
      <c r="P217" s="4">
        <v>10.81</v>
      </c>
      <c r="Q217" s="26">
        <f>N30</f>
        <v>0</v>
      </c>
      <c r="R217" s="6">
        <f>IF($B$15&lt;7.15,B217,C217)</f>
        <v>2.1949398260775217</v>
      </c>
      <c r="S217" s="6">
        <f t="shared" si="2"/>
        <v>0</v>
      </c>
      <c r="T217" s="6" t="e">
        <f t="shared" si="3"/>
        <v>#DIV/0!</v>
      </c>
      <c r="U217" s="6" t="e">
        <f t="shared" si="4"/>
        <v>#DIV/0!</v>
      </c>
      <c r="V217" s="49" t="s">
        <v>188</v>
      </c>
      <c r="W217" s="3"/>
      <c r="X217">
        <v>0.98</v>
      </c>
      <c r="Y217" s="3" t="e">
        <f t="shared" ref="Y217:Y225" si="19">((-LN(X217))/$M$22)*10000</f>
        <v>#DIV/0!</v>
      </c>
      <c r="Z217" s="36" t="e">
        <f t="shared" si="16"/>
        <v>#DIV/0!</v>
      </c>
      <c r="AA217" s="3" t="e">
        <f t="shared" si="5"/>
        <v>#DIV/0!</v>
      </c>
      <c r="AB217" s="36" t="e">
        <f t="shared" si="8"/>
        <v>#DIV/0!</v>
      </c>
      <c r="AC217" s="3" t="e">
        <f t="shared" si="9"/>
        <v>#DIV/0!</v>
      </c>
      <c r="AD217" s="36" t="e">
        <f t="shared" si="10"/>
        <v>#DIV/0!</v>
      </c>
      <c r="AE217" s="36" t="e">
        <f t="shared" si="11"/>
        <v>#DIV/0!</v>
      </c>
      <c r="AF217" s="36" t="e">
        <f t="shared" si="6"/>
        <v>#DIV/0!</v>
      </c>
      <c r="AG217" s="3" t="e">
        <f t="shared" si="7"/>
        <v>#DIV/0!</v>
      </c>
      <c r="AH217" s="36" t="e">
        <f t="shared" si="12"/>
        <v>#DIV/0!</v>
      </c>
      <c r="AI217" s="36" t="e">
        <f t="shared" si="17"/>
        <v>#DIV/0!</v>
      </c>
      <c r="AJ217" s="3" t="e">
        <f t="shared" si="13"/>
        <v>#DIV/0!</v>
      </c>
      <c r="AK217" s="36" t="e">
        <f t="shared" si="14"/>
        <v>#DIV/0!</v>
      </c>
      <c r="AL217" s="36" t="e">
        <f t="shared" si="15"/>
        <v>#DIV/0!</v>
      </c>
      <c r="AM217" s="36" t="e">
        <f t="shared" si="18"/>
        <v>#DIV/0!</v>
      </c>
      <c r="AP217" s="32">
        <v>5</v>
      </c>
      <c r="AQ217" s="1" t="s">
        <v>46</v>
      </c>
      <c r="AR217"/>
      <c r="AS217" s="5">
        <v>1517.15408</v>
      </c>
      <c r="AT217" s="5">
        <v>-1504.9693600000001</v>
      </c>
      <c r="AU217" s="5">
        <v>613.37312999999995</v>
      </c>
      <c r="AV217" s="5">
        <v>-125.54912</v>
      </c>
      <c r="AW217" s="5">
        <v>12.767480000000001</v>
      </c>
      <c r="AX217" s="5">
        <v>-0.51334000000000002</v>
      </c>
      <c r="AY217" s="5"/>
      <c r="AZ217" s="5"/>
      <c r="BA217" s="5"/>
      <c r="BB217" s="5"/>
      <c r="BC217" s="5"/>
      <c r="BD217" s="5">
        <v>37.194920000000003</v>
      </c>
      <c r="BE217" s="5">
        <v>-11.22636</v>
      </c>
      <c r="BF217" s="5">
        <v>1.41276</v>
      </c>
      <c r="BG217" s="5">
        <v>-9.0289999999999995E-2</v>
      </c>
      <c r="BH217" s="5">
        <v>2.8999999999999998E-3</v>
      </c>
      <c r="BI217" s="5">
        <v>-3.7188499999999998E-5</v>
      </c>
      <c r="BJ217" s="5"/>
      <c r="BK217" s="5"/>
      <c r="BL217" s="5"/>
      <c r="BM217" s="5"/>
      <c r="BN217" s="5"/>
    </row>
    <row r="218" spans="1:175" ht="15.95" customHeight="1">
      <c r="B218" s="6">
        <f t="shared" si="0"/>
        <v>-147.68917260914532</v>
      </c>
      <c r="C218" s="6">
        <f t="shared" si="1"/>
        <v>4.3046024663104525</v>
      </c>
      <c r="E218"/>
      <c r="F218" s="3"/>
      <c r="G218"/>
      <c r="H218" s="5"/>
      <c r="N218" s="2">
        <v>6</v>
      </c>
      <c r="O218" s="2" t="s">
        <v>47</v>
      </c>
      <c r="P218" s="4">
        <v>12.010999999999999</v>
      </c>
      <c r="Q218" s="26">
        <f>O30</f>
        <v>0</v>
      </c>
      <c r="R218" s="6">
        <f>IF($B$15&lt;7.15,B218,C218)</f>
        <v>4.3046024663104525</v>
      </c>
      <c r="S218" s="6">
        <f t="shared" si="2"/>
        <v>0</v>
      </c>
      <c r="T218" s="6" t="e">
        <f t="shared" si="3"/>
        <v>#DIV/0!</v>
      </c>
      <c r="U218" s="6" t="e">
        <f t="shared" si="4"/>
        <v>#DIV/0!</v>
      </c>
      <c r="V218" s="49" t="s">
        <v>188</v>
      </c>
      <c r="W218" s="3"/>
      <c r="X218">
        <v>0.97499999999999998</v>
      </c>
      <c r="Y218" s="3" t="e">
        <f t="shared" si="19"/>
        <v>#DIV/0!</v>
      </c>
      <c r="Z218" s="36" t="e">
        <f t="shared" si="16"/>
        <v>#DIV/0!</v>
      </c>
      <c r="AA218" s="3" t="e">
        <f t="shared" si="5"/>
        <v>#DIV/0!</v>
      </c>
      <c r="AB218" s="36" t="e">
        <f t="shared" si="8"/>
        <v>#DIV/0!</v>
      </c>
      <c r="AC218" s="3" t="e">
        <f t="shared" si="9"/>
        <v>#DIV/0!</v>
      </c>
      <c r="AD218" s="36" t="e">
        <f t="shared" si="10"/>
        <v>#DIV/0!</v>
      </c>
      <c r="AE218" s="36" t="e">
        <f t="shared" si="11"/>
        <v>#DIV/0!</v>
      </c>
      <c r="AF218" s="36" t="e">
        <f t="shared" si="6"/>
        <v>#DIV/0!</v>
      </c>
      <c r="AG218" s="3" t="e">
        <f t="shared" si="7"/>
        <v>#DIV/0!</v>
      </c>
      <c r="AH218" s="36" t="e">
        <f t="shared" si="12"/>
        <v>#DIV/0!</v>
      </c>
      <c r="AI218" s="36" t="e">
        <f t="shared" si="17"/>
        <v>#DIV/0!</v>
      </c>
      <c r="AJ218" s="3" t="e">
        <f t="shared" si="13"/>
        <v>#DIV/0!</v>
      </c>
      <c r="AK218" s="36" t="e">
        <f t="shared" si="14"/>
        <v>#DIV/0!</v>
      </c>
      <c r="AL218" s="36" t="e">
        <f t="shared" si="15"/>
        <v>#DIV/0!</v>
      </c>
      <c r="AM218" s="36" t="e">
        <f t="shared" si="18"/>
        <v>#DIV/0!</v>
      </c>
      <c r="AP218" s="32">
        <v>6</v>
      </c>
      <c r="AQ218" s="1" t="s">
        <v>47</v>
      </c>
      <c r="AR218"/>
      <c r="AS218" s="5">
        <v>2847.4616099999998</v>
      </c>
      <c r="AT218" s="5">
        <v>-2807.7008099999998</v>
      </c>
      <c r="AU218" s="5">
        <v>1139.2893300000001</v>
      </c>
      <c r="AV218" s="5">
        <v>-232.38685000000001</v>
      </c>
      <c r="AW218" s="5">
        <v>23.56542</v>
      </c>
      <c r="AX218" s="5">
        <v>-0.94528999999999996</v>
      </c>
      <c r="AY218" s="5"/>
      <c r="AZ218" s="5"/>
      <c r="BA218" s="5"/>
      <c r="BB218" s="5"/>
      <c r="BC218" s="5"/>
      <c r="BD218" s="5">
        <v>75.903109999999998</v>
      </c>
      <c r="BE218" s="5">
        <v>-22.960920000000002</v>
      </c>
      <c r="BF218" s="5">
        <v>2.8894500000000001</v>
      </c>
      <c r="BG218" s="5">
        <v>-0.18468000000000001</v>
      </c>
      <c r="BH218" s="5">
        <v>5.9300000000000004E-3</v>
      </c>
      <c r="BI218" s="5">
        <v>-7.6079499999999996E-5</v>
      </c>
      <c r="BJ218" s="5"/>
      <c r="BK218" s="5"/>
      <c r="BL218" s="5"/>
      <c r="BM218" s="5"/>
      <c r="BN218" s="5"/>
    </row>
    <row r="219" spans="1:175" ht="15.95" customHeight="1">
      <c r="B219" s="6">
        <f t="shared" si="0"/>
        <v>-236.62754582231719</v>
      </c>
      <c r="C219" s="6">
        <f t="shared" si="1"/>
        <v>7.1783408996910625</v>
      </c>
      <c r="E219"/>
      <c r="F219" s="3"/>
      <c r="G219"/>
      <c r="H219" s="5"/>
      <c r="N219" s="2">
        <v>7</v>
      </c>
      <c r="O219" s="2" t="s">
        <v>48</v>
      </c>
      <c r="P219" s="4">
        <v>14.0067</v>
      </c>
      <c r="Q219" s="26">
        <f>P30</f>
        <v>0</v>
      </c>
      <c r="R219" s="6">
        <f>IF($B$15&lt;7.15,B219,C219)</f>
        <v>7.1783408996910625</v>
      </c>
      <c r="S219" s="6">
        <f t="shared" si="2"/>
        <v>0</v>
      </c>
      <c r="T219" s="6" t="e">
        <f t="shared" si="3"/>
        <v>#DIV/0!</v>
      </c>
      <c r="U219" s="6" t="e">
        <f t="shared" si="4"/>
        <v>#DIV/0!</v>
      </c>
      <c r="V219" s="49" t="s">
        <v>188</v>
      </c>
      <c r="W219" s="3"/>
      <c r="X219">
        <v>0.97</v>
      </c>
      <c r="Y219" s="3" t="e">
        <f t="shared" si="19"/>
        <v>#DIV/0!</v>
      </c>
      <c r="Z219" s="36" t="e">
        <f t="shared" si="16"/>
        <v>#DIV/0!</v>
      </c>
      <c r="AA219" s="3" t="e">
        <f t="shared" si="5"/>
        <v>#DIV/0!</v>
      </c>
      <c r="AB219" s="36" t="e">
        <f t="shared" si="8"/>
        <v>#DIV/0!</v>
      </c>
      <c r="AC219" s="3" t="e">
        <f t="shared" si="9"/>
        <v>#DIV/0!</v>
      </c>
      <c r="AD219" s="36" t="e">
        <f t="shared" si="10"/>
        <v>#DIV/0!</v>
      </c>
      <c r="AE219" s="36" t="e">
        <f t="shared" si="11"/>
        <v>#DIV/0!</v>
      </c>
      <c r="AF219" s="36" t="e">
        <f t="shared" si="6"/>
        <v>#DIV/0!</v>
      </c>
      <c r="AG219" s="3" t="e">
        <f t="shared" si="7"/>
        <v>#DIV/0!</v>
      </c>
      <c r="AH219" s="36" t="e">
        <f t="shared" si="12"/>
        <v>#DIV/0!</v>
      </c>
      <c r="AI219" s="36" t="e">
        <f t="shared" si="17"/>
        <v>#DIV/0!</v>
      </c>
      <c r="AJ219" s="3" t="e">
        <f t="shared" si="13"/>
        <v>#DIV/0!</v>
      </c>
      <c r="AK219" s="36" t="e">
        <f t="shared" si="14"/>
        <v>#DIV/0!</v>
      </c>
      <c r="AL219" s="36" t="e">
        <f t="shared" si="15"/>
        <v>#DIV/0!</v>
      </c>
      <c r="AM219" s="36" t="e">
        <f t="shared" si="18"/>
        <v>#DIV/0!</v>
      </c>
      <c r="AP219" s="32">
        <v>7</v>
      </c>
      <c r="AQ219" s="1" t="s">
        <v>48</v>
      </c>
      <c r="AR219"/>
      <c r="AS219" s="5">
        <v>4570.4268899999997</v>
      </c>
      <c r="AT219" s="5">
        <v>-4500.1051699999998</v>
      </c>
      <c r="AU219" s="5">
        <v>1824.6898699999999</v>
      </c>
      <c r="AV219" s="5">
        <v>-372.07038</v>
      </c>
      <c r="AW219" s="5">
        <v>37.726640000000003</v>
      </c>
      <c r="AX219" s="5">
        <v>-1.5134000000000001</v>
      </c>
      <c r="AY219" s="5"/>
      <c r="AZ219" s="5"/>
      <c r="BA219" s="5"/>
      <c r="BB219" s="5"/>
      <c r="BC219" s="5"/>
      <c r="BD219" s="31">
        <v>127.2239</v>
      </c>
      <c r="BE219" s="31">
        <v>-38.44218</v>
      </c>
      <c r="BF219">
        <v>4.82965</v>
      </c>
      <c r="BG219">
        <v>-0.30826999999999999</v>
      </c>
      <c r="BH219">
        <v>9.8899999999999995E-3</v>
      </c>
      <c r="BI219" s="31">
        <v>-1.2673400000000001E-4</v>
      </c>
      <c r="BJ219" s="5"/>
      <c r="BK219" s="5"/>
      <c r="BL219" s="5"/>
      <c r="BM219" s="5"/>
      <c r="BN219" s="5"/>
    </row>
    <row r="220" spans="1:175" ht="15.95" customHeight="1">
      <c r="B220" s="6">
        <f t="shared" si="0"/>
        <v>-1680.0888524704787</v>
      </c>
      <c r="C220" s="6">
        <f t="shared" si="1"/>
        <v>10.94501029832127</v>
      </c>
      <c r="E220"/>
      <c r="F220" s="3"/>
      <c r="G220"/>
      <c r="H220" s="5"/>
      <c r="N220" s="2">
        <v>8</v>
      </c>
      <c r="O220" s="2" t="s">
        <v>0</v>
      </c>
      <c r="P220" s="4">
        <v>15.999000000000001</v>
      </c>
      <c r="Q220" s="26">
        <f>Q30</f>
        <v>0</v>
      </c>
      <c r="R220" s="6">
        <f>IF($B$15&lt;6.26,B220,C220)</f>
        <v>10.94501029832127</v>
      </c>
      <c r="S220" s="6">
        <f t="shared" si="2"/>
        <v>0</v>
      </c>
      <c r="T220" s="6" t="e">
        <f t="shared" si="3"/>
        <v>#DIV/0!</v>
      </c>
      <c r="U220" s="6" t="e">
        <f t="shared" si="4"/>
        <v>#DIV/0!</v>
      </c>
      <c r="V220" s="49" t="s">
        <v>188</v>
      </c>
      <c r="W220" s="3"/>
      <c r="X220">
        <v>0.96499999999999997</v>
      </c>
      <c r="Y220" s="3" t="e">
        <f t="shared" si="19"/>
        <v>#DIV/0!</v>
      </c>
      <c r="Z220" s="36" t="e">
        <f t="shared" si="16"/>
        <v>#DIV/0!</v>
      </c>
      <c r="AA220" s="3" t="e">
        <f t="shared" si="5"/>
        <v>#DIV/0!</v>
      </c>
      <c r="AB220" s="36" t="e">
        <f t="shared" si="8"/>
        <v>#DIV/0!</v>
      </c>
      <c r="AC220" s="3" t="e">
        <f t="shared" si="9"/>
        <v>#DIV/0!</v>
      </c>
      <c r="AD220" s="36" t="e">
        <f t="shared" si="10"/>
        <v>#DIV/0!</v>
      </c>
      <c r="AE220" s="36" t="e">
        <f t="shared" si="11"/>
        <v>#DIV/0!</v>
      </c>
      <c r="AF220" s="36" t="e">
        <f t="shared" si="6"/>
        <v>#DIV/0!</v>
      </c>
      <c r="AG220" s="3" t="e">
        <f t="shared" si="7"/>
        <v>#DIV/0!</v>
      </c>
      <c r="AH220" s="36" t="e">
        <f t="shared" si="12"/>
        <v>#DIV/0!</v>
      </c>
      <c r="AI220" s="36" t="e">
        <f t="shared" si="17"/>
        <v>#DIV/0!</v>
      </c>
      <c r="AJ220" s="3" t="e">
        <f t="shared" si="13"/>
        <v>#DIV/0!</v>
      </c>
      <c r="AK220" s="36" t="e">
        <f t="shared" si="14"/>
        <v>#DIV/0!</v>
      </c>
      <c r="AL220" s="36" t="e">
        <f t="shared" si="15"/>
        <v>#DIV/0!</v>
      </c>
      <c r="AM220" s="36" t="e">
        <f t="shared" si="18"/>
        <v>#DIV/0!</v>
      </c>
      <c r="AP220" s="32">
        <v>8</v>
      </c>
      <c r="AQ220" s="1" t="s">
        <v>0</v>
      </c>
      <c r="AR220" s="31"/>
      <c r="AS220" s="31">
        <v>7584.3164500000003</v>
      </c>
      <c r="AT220">
        <v>-7937.4430000000002</v>
      </c>
      <c r="AU220">
        <v>3458.4897500000002</v>
      </c>
      <c r="AV220">
        <v>-764.88987999999995</v>
      </c>
      <c r="AW220">
        <v>84.783469999999994</v>
      </c>
      <c r="AX220">
        <v>-3.74254</v>
      </c>
      <c r="AY220" s="5"/>
      <c r="AZ220" s="5"/>
      <c r="BA220" s="5"/>
      <c r="BB220" s="5"/>
      <c r="BC220" s="5"/>
      <c r="BD220" s="5">
        <v>236.27432999999999</v>
      </c>
      <c r="BE220" s="5">
        <v>-75.697550000000007</v>
      </c>
      <c r="BF220" s="5">
        <v>10.04513</v>
      </c>
      <c r="BG220" s="5">
        <v>-0.67427000000000004</v>
      </c>
      <c r="BH220" s="5">
        <v>2.2630000000000001E-2</v>
      </c>
      <c r="BI220" s="5">
        <v>-3.0213899999999999E-4</v>
      </c>
      <c r="BJ220" s="5"/>
      <c r="BK220" s="5"/>
      <c r="BL220" s="5"/>
      <c r="BM220" s="5"/>
      <c r="BN220" s="5"/>
    </row>
    <row r="221" spans="1:175" ht="15.95" customHeight="1">
      <c r="B221" s="6">
        <f t="shared" si="0"/>
        <v>-974.1516460844141</v>
      </c>
      <c r="C221" s="6">
        <f t="shared" si="1"/>
        <v>15.165363234363694</v>
      </c>
      <c r="E221"/>
      <c r="F221" s="3"/>
      <c r="G221"/>
      <c r="H221" s="5"/>
      <c r="N221" s="2">
        <v>9</v>
      </c>
      <c r="O221" s="2" t="s">
        <v>49</v>
      </c>
      <c r="P221" s="4">
        <v>18.9984</v>
      </c>
      <c r="Q221" s="26">
        <f>R30</f>
        <v>0</v>
      </c>
      <c r="R221" s="6">
        <f>IF($B$15&lt;6.69,B221,C221)</f>
        <v>15.165363234363694</v>
      </c>
      <c r="S221" s="6">
        <f t="shared" si="2"/>
        <v>0</v>
      </c>
      <c r="T221" s="6" t="e">
        <f t="shared" si="3"/>
        <v>#DIV/0!</v>
      </c>
      <c r="U221" s="6" t="e">
        <f t="shared" si="4"/>
        <v>#DIV/0!</v>
      </c>
      <c r="V221" s="49" t="s">
        <v>188</v>
      </c>
      <c r="W221" s="3"/>
      <c r="X221">
        <v>0.96</v>
      </c>
      <c r="Y221" s="3" t="e">
        <f t="shared" si="19"/>
        <v>#DIV/0!</v>
      </c>
      <c r="Z221" s="36" t="e">
        <f t="shared" si="16"/>
        <v>#DIV/0!</v>
      </c>
      <c r="AA221" s="3" t="e">
        <f t="shared" si="5"/>
        <v>#DIV/0!</v>
      </c>
      <c r="AB221" s="36" t="e">
        <f t="shared" si="8"/>
        <v>#DIV/0!</v>
      </c>
      <c r="AC221" s="3" t="e">
        <f t="shared" si="9"/>
        <v>#DIV/0!</v>
      </c>
      <c r="AD221" s="36" t="e">
        <f t="shared" si="10"/>
        <v>#DIV/0!</v>
      </c>
      <c r="AE221" s="36" t="e">
        <f t="shared" si="11"/>
        <v>#DIV/0!</v>
      </c>
      <c r="AF221" s="36" t="e">
        <f t="shared" si="6"/>
        <v>#DIV/0!</v>
      </c>
      <c r="AG221" s="3" t="e">
        <f t="shared" si="7"/>
        <v>#DIV/0!</v>
      </c>
      <c r="AH221" s="36" t="e">
        <f t="shared" si="12"/>
        <v>#DIV/0!</v>
      </c>
      <c r="AI221" s="36" t="e">
        <f t="shared" si="17"/>
        <v>#DIV/0!</v>
      </c>
      <c r="AJ221" s="3" t="e">
        <f t="shared" si="13"/>
        <v>#DIV/0!</v>
      </c>
      <c r="AK221" s="36" t="e">
        <f t="shared" si="14"/>
        <v>#DIV/0!</v>
      </c>
      <c r="AL221" s="36" t="e">
        <f t="shared" si="15"/>
        <v>#DIV/0!</v>
      </c>
      <c r="AM221" s="36" t="e">
        <f t="shared" si="18"/>
        <v>#DIV/0!</v>
      </c>
      <c r="AP221" s="32">
        <v>9</v>
      </c>
      <c r="AQ221" s="1" t="s">
        <v>49</v>
      </c>
      <c r="AR221" s="31"/>
      <c r="AS221" s="5">
        <v>8748.8876099999998</v>
      </c>
      <c r="AT221" s="5">
        <v>-8763.7423199999994</v>
      </c>
      <c r="AU221" s="5">
        <v>3654.01181</v>
      </c>
      <c r="AV221" s="5">
        <v>-772.24897999999996</v>
      </c>
      <c r="AW221" s="5">
        <v>81.646770000000004</v>
      </c>
      <c r="AX221" s="5">
        <v>-3.4308800000000002</v>
      </c>
      <c r="AY221" s="5"/>
      <c r="AZ221" s="5"/>
      <c r="BA221" s="5"/>
      <c r="BB221" s="5"/>
      <c r="BC221" s="5"/>
      <c r="BD221" s="5">
        <v>284.31306999999998</v>
      </c>
      <c r="BE221" s="5">
        <v>-87.721739999999997</v>
      </c>
      <c r="BF221" s="5">
        <v>11.259869999999999</v>
      </c>
      <c r="BG221" s="5">
        <v>-0.73399999999999999</v>
      </c>
      <c r="BH221" s="5">
        <v>2.401E-2</v>
      </c>
      <c r="BI221" s="5">
        <v>-3.13412E-4</v>
      </c>
      <c r="BJ221" s="5"/>
      <c r="BK221" s="5"/>
      <c r="BL221" s="5"/>
      <c r="BM221" s="5"/>
      <c r="BN221" s="5"/>
    </row>
    <row r="222" spans="1:175" ht="15.95" customHeight="1">
      <c r="B222" s="6">
        <f t="shared" si="0"/>
        <v>-3144.6752101423335</v>
      </c>
      <c r="C222" s="6">
        <f t="shared" si="1"/>
        <v>22.133816601134303</v>
      </c>
      <c r="E222"/>
      <c r="F222" s="3"/>
      <c r="G222"/>
      <c r="H222" s="5"/>
      <c r="N222" s="2">
        <v>10</v>
      </c>
      <c r="O222" s="2" t="s">
        <v>50</v>
      </c>
      <c r="P222" s="4">
        <v>20.178999999999998</v>
      </c>
      <c r="Q222" s="26">
        <f>S30</f>
        <v>0</v>
      </c>
      <c r="R222" s="6">
        <f>IF($B$15&lt;6.26,B222,C222)</f>
        <v>22.133816601134303</v>
      </c>
      <c r="S222" s="6">
        <f t="shared" si="2"/>
        <v>0</v>
      </c>
      <c r="T222" s="6" t="e">
        <f t="shared" si="3"/>
        <v>#DIV/0!</v>
      </c>
      <c r="U222" s="6" t="e">
        <f t="shared" si="4"/>
        <v>#DIV/0!</v>
      </c>
      <c r="V222" s="49" t="s">
        <v>188</v>
      </c>
      <c r="W222" s="3"/>
      <c r="X222">
        <v>0.95499999999999996</v>
      </c>
      <c r="Y222" s="3" t="e">
        <f t="shared" si="19"/>
        <v>#DIV/0!</v>
      </c>
      <c r="Z222" s="36" t="e">
        <f t="shared" si="16"/>
        <v>#DIV/0!</v>
      </c>
      <c r="AA222" s="3" t="e">
        <f t="shared" si="5"/>
        <v>#DIV/0!</v>
      </c>
      <c r="AB222" s="36" t="e">
        <f t="shared" si="8"/>
        <v>#DIV/0!</v>
      </c>
      <c r="AC222" s="3" t="e">
        <f t="shared" si="9"/>
        <v>#DIV/0!</v>
      </c>
      <c r="AD222" s="36" t="e">
        <f t="shared" si="10"/>
        <v>#DIV/0!</v>
      </c>
      <c r="AE222" s="36" t="e">
        <f t="shared" si="11"/>
        <v>#DIV/0!</v>
      </c>
      <c r="AF222" s="36" t="e">
        <f t="shared" si="6"/>
        <v>#DIV/0!</v>
      </c>
      <c r="AG222" s="3" t="e">
        <f t="shared" si="7"/>
        <v>#DIV/0!</v>
      </c>
      <c r="AH222" s="36" t="e">
        <f t="shared" si="12"/>
        <v>#DIV/0!</v>
      </c>
      <c r="AI222" s="36" t="e">
        <f t="shared" si="17"/>
        <v>#DIV/0!</v>
      </c>
      <c r="AJ222" s="3" t="e">
        <f t="shared" si="13"/>
        <v>#DIV/0!</v>
      </c>
      <c r="AK222" s="36" t="e">
        <f t="shared" si="14"/>
        <v>#DIV/0!</v>
      </c>
      <c r="AL222" s="36" t="e">
        <f t="shared" si="15"/>
        <v>#DIV/0!</v>
      </c>
      <c r="AM222" s="36" t="e">
        <f t="shared" si="18"/>
        <v>#DIV/0!</v>
      </c>
      <c r="AP222" s="32">
        <v>10</v>
      </c>
      <c r="AQ222" s="1" t="s">
        <v>50</v>
      </c>
      <c r="AR222" s="31"/>
      <c r="AS222" s="5">
        <v>13449.235930000001</v>
      </c>
      <c r="AT222" s="5">
        <v>-14090.129569999999</v>
      </c>
      <c r="AU222" s="5">
        <v>6170.9734799999997</v>
      </c>
      <c r="AV222" s="5">
        <v>-1373.5915600000001</v>
      </c>
      <c r="AW222" s="5">
        <v>153.24061</v>
      </c>
      <c r="AX222" s="5">
        <v>-6.8048700000000002</v>
      </c>
      <c r="AY222" s="5"/>
      <c r="AZ222" s="5"/>
      <c r="BA222" s="5"/>
      <c r="BB222" s="5"/>
      <c r="BC222" s="5"/>
      <c r="BD222" s="5">
        <v>463.65314000000001</v>
      </c>
      <c r="BE222" s="5">
        <v>-147.58659</v>
      </c>
      <c r="BF222" s="5">
        <v>19.482520000000001</v>
      </c>
      <c r="BG222" s="5">
        <v>-1.30213</v>
      </c>
      <c r="BH222" s="5">
        <v>4.3549999999999998E-2</v>
      </c>
      <c r="BI222" s="5">
        <v>-5.7959099999999996E-4</v>
      </c>
      <c r="BJ222" s="5"/>
      <c r="BK222" s="5"/>
      <c r="BL222" s="5"/>
      <c r="BM222" s="5"/>
      <c r="BN222" s="5"/>
    </row>
    <row r="223" spans="1:175" ht="15.95" customHeight="1">
      <c r="B223" s="6">
        <f t="shared" si="0"/>
        <v>-1229.8117850175477</v>
      </c>
      <c r="C223" s="6">
        <f t="shared" si="1"/>
        <v>28.901890905125104</v>
      </c>
      <c r="E223"/>
      <c r="F223" s="3"/>
      <c r="G223"/>
      <c r="H223" s="5"/>
      <c r="N223" s="2">
        <v>11</v>
      </c>
      <c r="O223" s="2" t="s">
        <v>51</v>
      </c>
      <c r="P223" s="4">
        <v>22.989799999999999</v>
      </c>
      <c r="Q223" s="26">
        <f>B32</f>
        <v>0</v>
      </c>
      <c r="R223" s="6">
        <f>IF($B$15&lt;6.69,B223,C223)</f>
        <v>28.901890905125104</v>
      </c>
      <c r="S223" s="6">
        <f t="shared" si="2"/>
        <v>0</v>
      </c>
      <c r="T223" s="6" t="e">
        <f t="shared" si="3"/>
        <v>#DIV/0!</v>
      </c>
      <c r="U223" s="6" t="e">
        <f t="shared" si="4"/>
        <v>#DIV/0!</v>
      </c>
      <c r="V223" s="49" t="s">
        <v>188</v>
      </c>
      <c r="W223" s="3"/>
      <c r="X223">
        <v>0.95</v>
      </c>
      <c r="Y223" s="3" t="e">
        <f t="shared" si="19"/>
        <v>#DIV/0!</v>
      </c>
      <c r="Z223" s="36" t="e">
        <f t="shared" si="16"/>
        <v>#DIV/0!</v>
      </c>
      <c r="AA223" s="3" t="e">
        <f t="shared" si="5"/>
        <v>#DIV/0!</v>
      </c>
      <c r="AB223" s="36" t="e">
        <f t="shared" si="8"/>
        <v>#DIV/0!</v>
      </c>
      <c r="AC223" s="3" t="e">
        <f t="shared" si="9"/>
        <v>#DIV/0!</v>
      </c>
      <c r="AD223" s="36" t="e">
        <f t="shared" si="10"/>
        <v>#DIV/0!</v>
      </c>
      <c r="AE223" s="36" t="e">
        <f t="shared" si="11"/>
        <v>#DIV/0!</v>
      </c>
      <c r="AF223" s="36" t="e">
        <f t="shared" si="6"/>
        <v>#DIV/0!</v>
      </c>
      <c r="AG223" s="3" t="e">
        <f t="shared" si="7"/>
        <v>#DIV/0!</v>
      </c>
      <c r="AH223" s="36" t="e">
        <f t="shared" si="12"/>
        <v>#DIV/0!</v>
      </c>
      <c r="AI223" s="36" t="e">
        <f t="shared" si="17"/>
        <v>#DIV/0!</v>
      </c>
      <c r="AJ223" s="3" t="e">
        <f t="shared" si="13"/>
        <v>#DIV/0!</v>
      </c>
      <c r="AK223" s="36" t="e">
        <f t="shared" si="14"/>
        <v>#DIV/0!</v>
      </c>
      <c r="AL223" s="36" t="e">
        <f t="shared" si="15"/>
        <v>#DIV/0!</v>
      </c>
      <c r="AM223" s="36" t="e">
        <f t="shared" si="18"/>
        <v>#DIV/0!</v>
      </c>
      <c r="AP223" s="32">
        <v>11</v>
      </c>
      <c r="AQ223" s="1" t="s">
        <v>51</v>
      </c>
      <c r="AR223"/>
      <c r="AS223" s="5">
        <v>13798.66001</v>
      </c>
      <c r="AT223" s="5">
        <v>-13424.15014</v>
      </c>
      <c r="AU223" s="5">
        <v>5459.3667400000004</v>
      </c>
      <c r="AV223" s="5">
        <v>-1128.6804</v>
      </c>
      <c r="AW223" s="5">
        <v>117.01711</v>
      </c>
      <c r="AX223" s="5">
        <v>-4.8324100000000003</v>
      </c>
      <c r="AY223" s="5"/>
      <c r="AZ223" s="5"/>
      <c r="BA223" s="5"/>
      <c r="BB223" s="5"/>
      <c r="BC223" s="5"/>
      <c r="BD223" s="5">
        <v>534.17723999999998</v>
      </c>
      <c r="BE223" s="5">
        <v>-164.12223</v>
      </c>
      <c r="BF223" s="5">
        <v>20.988499999999998</v>
      </c>
      <c r="BG223" s="5">
        <v>-1.36405</v>
      </c>
      <c r="BH223" s="5">
        <v>4.4519999999999997E-2</v>
      </c>
      <c r="BI223" s="5">
        <v>-5.7995200000000001E-4</v>
      </c>
      <c r="BJ223" s="5"/>
      <c r="BK223" s="5"/>
      <c r="BL223" s="5"/>
      <c r="BM223" s="5"/>
      <c r="BN223" s="5"/>
    </row>
    <row r="224" spans="1:175" ht="15.95" customHeight="1">
      <c r="B224" s="6">
        <f t="shared" si="0"/>
        <v>-1795.4662564242317</v>
      </c>
      <c r="C224" s="6">
        <f t="shared" si="1"/>
        <v>38.967301006034404</v>
      </c>
      <c r="E224"/>
      <c r="F224" s="3"/>
      <c r="G224"/>
      <c r="H224" s="5"/>
      <c r="N224" s="2">
        <v>12</v>
      </c>
      <c r="O224" s="2" t="s">
        <v>24</v>
      </c>
      <c r="P224" s="4">
        <v>24.305</v>
      </c>
      <c r="Q224" s="26">
        <f>C32</f>
        <v>0</v>
      </c>
      <c r="R224" s="6">
        <f>IF($B$15&lt;6.69,B224,C224)</f>
        <v>38.967301006034404</v>
      </c>
      <c r="S224" s="6">
        <f t="shared" si="2"/>
        <v>0</v>
      </c>
      <c r="T224" s="6" t="e">
        <f t="shared" si="3"/>
        <v>#DIV/0!</v>
      </c>
      <c r="U224" s="6" t="e">
        <f t="shared" si="4"/>
        <v>#DIV/0!</v>
      </c>
      <c r="V224" s="49" t="s">
        <v>188</v>
      </c>
      <c r="W224" s="3"/>
      <c r="X224">
        <v>0.94499999999999995</v>
      </c>
      <c r="Y224" s="3" t="e">
        <f t="shared" si="19"/>
        <v>#DIV/0!</v>
      </c>
      <c r="Z224" s="36" t="e">
        <f t="shared" si="16"/>
        <v>#DIV/0!</v>
      </c>
      <c r="AA224" s="3" t="e">
        <f t="shared" si="5"/>
        <v>#DIV/0!</v>
      </c>
      <c r="AB224" s="36" t="e">
        <f t="shared" si="8"/>
        <v>#DIV/0!</v>
      </c>
      <c r="AC224" s="3" t="e">
        <f t="shared" si="9"/>
        <v>#DIV/0!</v>
      </c>
      <c r="AD224" s="36" t="e">
        <f t="shared" si="10"/>
        <v>#DIV/0!</v>
      </c>
      <c r="AE224" s="36" t="e">
        <f t="shared" si="11"/>
        <v>#DIV/0!</v>
      </c>
      <c r="AF224" s="36" t="e">
        <f t="shared" si="6"/>
        <v>#DIV/0!</v>
      </c>
      <c r="AG224" s="3" t="e">
        <f t="shared" si="7"/>
        <v>#DIV/0!</v>
      </c>
      <c r="AH224" s="36" t="e">
        <f t="shared" si="12"/>
        <v>#DIV/0!</v>
      </c>
      <c r="AI224" s="36" t="e">
        <f t="shared" si="17"/>
        <v>#DIV/0!</v>
      </c>
      <c r="AJ224" s="3" t="e">
        <f t="shared" si="13"/>
        <v>#DIV/0!</v>
      </c>
      <c r="AK224" s="36" t="e">
        <f t="shared" si="14"/>
        <v>#DIV/0!</v>
      </c>
      <c r="AL224" s="36" t="e">
        <f t="shared" si="15"/>
        <v>#DIV/0!</v>
      </c>
      <c r="AM224" s="36" t="e">
        <f t="shared" si="18"/>
        <v>#DIV/0!</v>
      </c>
      <c r="AP224" s="32">
        <v>12</v>
      </c>
      <c r="AQ224" s="1" t="s">
        <v>24</v>
      </c>
      <c r="AR224"/>
      <c r="AS224" s="5">
        <v>17658.384310000001</v>
      </c>
      <c r="AT224" s="5">
        <v>-17291.45651</v>
      </c>
      <c r="AU224" s="5">
        <v>7099.2488700000004</v>
      </c>
      <c r="AV224" s="5">
        <v>-1483.7773</v>
      </c>
      <c r="AW224" s="5">
        <v>155.58317</v>
      </c>
      <c r="AX224" s="5">
        <v>-6.4971699999999997</v>
      </c>
      <c r="AY224" s="5"/>
      <c r="AZ224" s="5"/>
      <c r="BA224" s="5"/>
      <c r="BB224" s="5"/>
      <c r="BC224" s="5"/>
      <c r="BD224" s="5">
        <v>716.89360999999997</v>
      </c>
      <c r="BE224" s="5">
        <v>-220.05618999999999</v>
      </c>
      <c r="BF224" s="5">
        <v>28.123449999999998</v>
      </c>
      <c r="BG224" s="5">
        <v>-1.8269599999999999</v>
      </c>
      <c r="BH224" s="5">
        <v>5.9610000000000003E-2</v>
      </c>
      <c r="BI224" s="5">
        <v>-7.7635200000000001E-4</v>
      </c>
      <c r="BJ224" s="5"/>
      <c r="BK224" s="5"/>
      <c r="BL224" s="5"/>
      <c r="BM224" s="5"/>
      <c r="BN224" s="5"/>
    </row>
    <row r="225" spans="2:83" ht="15.95" customHeight="1">
      <c r="B225" s="6">
        <f t="shared" si="0"/>
        <v>-2815.7346356345806</v>
      </c>
      <c r="C225" s="6">
        <f t="shared" si="1"/>
        <v>48.552882180838886</v>
      </c>
      <c r="E225"/>
      <c r="F225" s="3"/>
      <c r="G225"/>
      <c r="H225" s="5"/>
      <c r="N225" s="2">
        <v>13</v>
      </c>
      <c r="O225" s="2" t="s">
        <v>25</v>
      </c>
      <c r="P225" s="4">
        <v>26.9815</v>
      </c>
      <c r="Q225" s="26">
        <f>N32</f>
        <v>0</v>
      </c>
      <c r="R225" s="6">
        <f>IF($B$15&lt;6.69,B225,C225)</f>
        <v>48.552882180838886</v>
      </c>
      <c r="S225" s="6">
        <f t="shared" si="2"/>
        <v>0</v>
      </c>
      <c r="T225" s="6" t="e">
        <f t="shared" si="3"/>
        <v>#DIV/0!</v>
      </c>
      <c r="U225" s="6" t="e">
        <f t="shared" si="4"/>
        <v>#DIV/0!</v>
      </c>
      <c r="V225" s="49" t="s">
        <v>188</v>
      </c>
      <c r="W225" s="3"/>
      <c r="X225">
        <v>0.94</v>
      </c>
      <c r="Y225" s="3" t="e">
        <f t="shared" si="19"/>
        <v>#DIV/0!</v>
      </c>
      <c r="Z225" s="36" t="e">
        <f t="shared" si="16"/>
        <v>#DIV/0!</v>
      </c>
      <c r="AA225" s="3" t="e">
        <f t="shared" si="5"/>
        <v>#DIV/0!</v>
      </c>
      <c r="AB225" s="36" t="e">
        <f t="shared" si="8"/>
        <v>#DIV/0!</v>
      </c>
      <c r="AC225" s="3" t="e">
        <f t="shared" si="9"/>
        <v>#DIV/0!</v>
      </c>
      <c r="AD225" s="36" t="e">
        <f t="shared" si="10"/>
        <v>#DIV/0!</v>
      </c>
      <c r="AE225" s="36" t="e">
        <f t="shared" si="11"/>
        <v>#DIV/0!</v>
      </c>
      <c r="AF225" s="36" t="e">
        <f t="shared" si="6"/>
        <v>#DIV/0!</v>
      </c>
      <c r="AG225" s="3" t="e">
        <f t="shared" si="7"/>
        <v>#DIV/0!</v>
      </c>
      <c r="AH225" s="36" t="e">
        <f t="shared" si="12"/>
        <v>#DIV/0!</v>
      </c>
      <c r="AI225" s="36" t="e">
        <f t="shared" si="17"/>
        <v>#DIV/0!</v>
      </c>
      <c r="AJ225" s="3" t="e">
        <f t="shared" si="13"/>
        <v>#DIV/0!</v>
      </c>
      <c r="AK225" s="36" t="e">
        <f t="shared" si="14"/>
        <v>#DIV/0!</v>
      </c>
      <c r="AL225" s="36" t="e">
        <f t="shared" si="15"/>
        <v>#DIV/0!</v>
      </c>
      <c r="AM225" s="36" t="e">
        <f t="shared" si="18"/>
        <v>#DIV/0!</v>
      </c>
      <c r="AP225" s="32">
        <v>13</v>
      </c>
      <c r="AQ225" s="1" t="s">
        <v>25</v>
      </c>
      <c r="AR225"/>
      <c r="AS225" s="5">
        <v>23041.115610000001</v>
      </c>
      <c r="AT225" s="5">
        <v>-23245.24308</v>
      </c>
      <c r="AU225" s="5">
        <v>9798.3574700000008</v>
      </c>
      <c r="AV225" s="5">
        <v>-2094.1418399999998</v>
      </c>
      <c r="AW225" s="5">
        <v>223.69394</v>
      </c>
      <c r="AX225" s="5">
        <v>-9.4850999999999992</v>
      </c>
      <c r="AY225" s="5"/>
      <c r="AZ225" s="5"/>
      <c r="BA225" s="5"/>
      <c r="BB225" s="5"/>
      <c r="BC225" s="5"/>
      <c r="BD225" s="5">
        <v>889.99046999999996</v>
      </c>
      <c r="BE225" s="5">
        <v>-273.12533000000002</v>
      </c>
      <c r="BF225" s="5">
        <v>34.908679999999997</v>
      </c>
      <c r="BG225" s="5">
        <v>-2.2681900000000002</v>
      </c>
      <c r="BH225" s="5">
        <v>7.4020000000000002E-2</v>
      </c>
      <c r="BI225" s="5">
        <v>-9.6426200000000002E-4</v>
      </c>
      <c r="BJ225" s="5"/>
      <c r="BK225" s="5"/>
      <c r="BL225" s="5"/>
      <c r="BM225" s="5"/>
      <c r="BN225" s="5"/>
    </row>
    <row r="226" spans="2:83" ht="15.95" customHeight="1">
      <c r="B226" s="6">
        <f t="shared" si="0"/>
        <v>-2953.9637220327859</v>
      </c>
      <c r="C226" s="6">
        <f t="shared" si="1"/>
        <v>62.453553392112973</v>
      </c>
      <c r="E226"/>
      <c r="F226" s="3"/>
      <c r="G226"/>
      <c r="H226" s="5"/>
      <c r="N226" s="2">
        <v>14</v>
      </c>
      <c r="O226" s="2" t="s">
        <v>26</v>
      </c>
      <c r="P226" s="4">
        <v>28.0855</v>
      </c>
      <c r="Q226" s="26">
        <f>O32</f>
        <v>0</v>
      </c>
      <c r="R226" s="6">
        <f>IF($B$15&lt;6.69,B226,C226)</f>
        <v>62.453553392112973</v>
      </c>
      <c r="S226" s="6">
        <f t="shared" si="2"/>
        <v>0</v>
      </c>
      <c r="T226" s="6" t="e">
        <f t="shared" si="3"/>
        <v>#DIV/0!</v>
      </c>
      <c r="U226" s="6" t="e">
        <f t="shared" si="4"/>
        <v>#DIV/0!</v>
      </c>
      <c r="V226" s="49" t="s">
        <v>188</v>
      </c>
      <c r="W226" s="3"/>
      <c r="X226">
        <v>0.93500000000000005</v>
      </c>
      <c r="Y226" s="3" t="e">
        <f>((-LN(X226))/$M$22)*10000</f>
        <v>#DIV/0!</v>
      </c>
      <c r="Z226" s="36" t="e">
        <f t="shared" si="16"/>
        <v>#DIV/0!</v>
      </c>
      <c r="AA226" s="3" t="e">
        <f t="shared" si="5"/>
        <v>#DIV/0!</v>
      </c>
      <c r="AB226" s="36" t="e">
        <f t="shared" si="8"/>
        <v>#DIV/0!</v>
      </c>
      <c r="AC226" s="3" t="e">
        <f t="shared" si="9"/>
        <v>#DIV/0!</v>
      </c>
      <c r="AD226" s="36" t="e">
        <f t="shared" si="10"/>
        <v>#DIV/0!</v>
      </c>
      <c r="AE226" s="36" t="e">
        <f t="shared" si="11"/>
        <v>#DIV/0!</v>
      </c>
      <c r="AF226" s="36" t="e">
        <f t="shared" si="6"/>
        <v>#DIV/0!</v>
      </c>
      <c r="AG226" s="3" t="e">
        <f t="shared" si="7"/>
        <v>#DIV/0!</v>
      </c>
      <c r="AH226" s="36" t="e">
        <f t="shared" si="12"/>
        <v>#DIV/0!</v>
      </c>
      <c r="AI226" s="36" t="e">
        <f t="shared" si="17"/>
        <v>#DIV/0!</v>
      </c>
      <c r="AJ226" s="3" t="e">
        <f t="shared" si="13"/>
        <v>#DIV/0!</v>
      </c>
      <c r="AK226" s="36" t="e">
        <f t="shared" si="14"/>
        <v>#DIV/0!</v>
      </c>
      <c r="AL226" s="36" t="e">
        <f t="shared" si="15"/>
        <v>#DIV/0!</v>
      </c>
      <c r="AM226" s="36" t="e">
        <f t="shared" si="18"/>
        <v>#DIV/0!</v>
      </c>
      <c r="AP226" s="32">
        <v>14</v>
      </c>
      <c r="AQ226" s="1" t="s">
        <v>26</v>
      </c>
      <c r="AR226" s="31"/>
      <c r="AS226" s="5">
        <v>27266.846610000001</v>
      </c>
      <c r="AT226" s="5">
        <v>-27112.155269999999</v>
      </c>
      <c r="AU226" s="5">
        <v>11283.72133</v>
      </c>
      <c r="AV226" s="5">
        <v>-2384.0437400000001</v>
      </c>
      <c r="AW226" s="5">
        <v>252.02032</v>
      </c>
      <c r="AX226" s="5">
        <v>-10.585940000000001</v>
      </c>
      <c r="AY226" s="5"/>
      <c r="AZ226" s="5"/>
      <c r="BA226" s="5"/>
      <c r="BB226" s="5"/>
      <c r="BC226" s="5"/>
      <c r="BD226" s="5">
        <v>1062.30449</v>
      </c>
      <c r="BE226" s="5">
        <v>-319.58348000000001</v>
      </c>
      <c r="BF226" s="5">
        <v>40.157829999999997</v>
      </c>
      <c r="BG226" s="5">
        <v>-2.57158</v>
      </c>
      <c r="BH226" s="5">
        <v>8.2890000000000005E-2</v>
      </c>
      <c r="BI226" s="5">
        <v>-1.07E-3</v>
      </c>
      <c r="BJ226" s="5"/>
      <c r="BK226" s="5"/>
      <c r="BL226" s="5"/>
      <c r="BM226" s="5"/>
      <c r="BN226" s="5"/>
    </row>
    <row r="227" spans="2:83" ht="15.95" customHeight="1">
      <c r="B227" s="6">
        <f>AS227+AT227*$B$15</f>
        <v>-1758.8019383999999</v>
      </c>
      <c r="C227" s="6">
        <f t="shared" ref="C227:C236" si="20">BD227+BE227*$B$15</f>
        <v>1075741.5404931998</v>
      </c>
      <c r="D227" s="6">
        <f t="shared" ref="D227:D236" si="21">BO227+BP227*$B$15+BQ227*$B$15^2+BR227*$B$15^3+BS227*$B$15^4+BT227*$B$15^5+BU227*$B$15^6+BV227*$B$15^7+BW227*$B$15^8+BX227*$B$15^9</f>
        <v>-484.02041458737222</v>
      </c>
      <c r="E227" s="6">
        <f t="shared" ref="E227:E249" si="22">BZ227+CA227*$B$15+CB227*$B$15^2+CC227*$B$15^3+CD227*$B$15^4+CE227*$B$15^5+CF227*$B$15^6+CG227*$B$15^7+CH227*$B$15^8+CI227*$B$15^9</f>
        <v>73.890045732982216</v>
      </c>
      <c r="F227" s="3"/>
      <c r="G227"/>
      <c r="H227" s="5"/>
      <c r="N227" s="2">
        <v>15</v>
      </c>
      <c r="O227" s="2" t="s">
        <v>27</v>
      </c>
      <c r="P227" s="4">
        <v>30.973800000000001</v>
      </c>
      <c r="Q227" s="26">
        <f>P32</f>
        <v>0</v>
      </c>
      <c r="R227" s="6">
        <f>IF($B$15&lt;2.143354,B227,IF($B$15&lt;2.156227,C227,IF($B$15&lt;6.915365,D227,IF($B$15&lt;20.2,E227))))</f>
        <v>73.890045732982216</v>
      </c>
      <c r="S227" s="6">
        <f t="shared" si="2"/>
        <v>0</v>
      </c>
      <c r="T227" s="6" t="e">
        <f t="shared" si="3"/>
        <v>#DIV/0!</v>
      </c>
      <c r="U227" s="6" t="e">
        <f t="shared" si="4"/>
        <v>#DIV/0!</v>
      </c>
      <c r="V227" s="49" t="s">
        <v>188</v>
      </c>
      <c r="W227" s="3"/>
      <c r="X227">
        <v>0.93</v>
      </c>
      <c r="Y227" s="3" t="e">
        <f>((-LN(X227))/$M$22)*10000</f>
        <v>#DIV/0!</v>
      </c>
      <c r="Z227" s="36" t="e">
        <f t="shared" si="16"/>
        <v>#DIV/0!</v>
      </c>
      <c r="AA227" s="3" t="e">
        <f t="shared" si="5"/>
        <v>#DIV/0!</v>
      </c>
      <c r="AB227" s="36" t="e">
        <f t="shared" si="8"/>
        <v>#DIV/0!</v>
      </c>
      <c r="AC227" s="3" t="e">
        <f t="shared" si="9"/>
        <v>#DIV/0!</v>
      </c>
      <c r="AD227" s="36" t="e">
        <f t="shared" si="10"/>
        <v>#DIV/0!</v>
      </c>
      <c r="AE227" s="36" t="e">
        <f t="shared" si="11"/>
        <v>#DIV/0!</v>
      </c>
      <c r="AF227" s="36" t="e">
        <f t="shared" si="6"/>
        <v>#DIV/0!</v>
      </c>
      <c r="AG227" s="3" t="e">
        <f t="shared" si="7"/>
        <v>#DIV/0!</v>
      </c>
      <c r="AH227" s="36" t="e">
        <f t="shared" si="12"/>
        <v>#DIV/0!</v>
      </c>
      <c r="AI227" s="36" t="e">
        <f t="shared" si="17"/>
        <v>#DIV/0!</v>
      </c>
      <c r="AJ227" s="3" t="e">
        <f t="shared" si="13"/>
        <v>#DIV/0!</v>
      </c>
      <c r="AK227" s="36" t="e">
        <f t="shared" si="14"/>
        <v>#DIV/0!</v>
      </c>
      <c r="AL227" s="36" t="e">
        <f t="shared" si="15"/>
        <v>#DIV/0!</v>
      </c>
      <c r="AM227" s="36" t="e">
        <f t="shared" si="18"/>
        <v>#DIV/0!</v>
      </c>
      <c r="AP227" s="32">
        <v>15</v>
      </c>
      <c r="AQ227" s="1" t="s">
        <v>27</v>
      </c>
      <c r="AR227" s="5" t="s">
        <v>128</v>
      </c>
      <c r="AS227" s="5">
        <v>946.62018</v>
      </c>
      <c r="AT227" s="5">
        <v>-336.16079999999999</v>
      </c>
      <c r="AU227" s="31"/>
      <c r="AW227" s="5"/>
      <c r="AX227" s="5"/>
      <c r="AY227" s="5"/>
      <c r="AZ227" s="5"/>
      <c r="BA227" s="5"/>
      <c r="BB227" s="5"/>
      <c r="BC227" s="5" t="s">
        <v>128</v>
      </c>
      <c r="BD227" s="5">
        <v>-390178.55893</v>
      </c>
      <c r="BE227" s="5">
        <v>182147.12964999999</v>
      </c>
      <c r="BF227" s="5"/>
      <c r="BG227" s="5"/>
      <c r="BH227" s="5"/>
      <c r="BI227" s="5"/>
      <c r="BJ227" s="5"/>
      <c r="BK227" s="5"/>
      <c r="BL227" s="5"/>
      <c r="BM227" s="5"/>
      <c r="BN227" s="5"/>
      <c r="BO227" s="5">
        <v>22048.677830000001</v>
      </c>
      <c r="BP227" s="5">
        <v>-19387.571830000001</v>
      </c>
      <c r="BQ227" s="5">
        <v>7180.38364</v>
      </c>
      <c r="BR227" s="5">
        <v>-1358.09193</v>
      </c>
      <c r="BS227" s="5">
        <v>129.2201</v>
      </c>
      <c r="BT227" s="5">
        <v>-4.9091100000000001</v>
      </c>
      <c r="BZ227">
        <v>1252.6674399999999</v>
      </c>
      <c r="CA227">
        <v>-378.35424</v>
      </c>
      <c r="CB227">
        <v>47.820700000000002</v>
      </c>
      <c r="CC227">
        <v>-3.0827300000000002</v>
      </c>
      <c r="CD227">
        <v>0.10004</v>
      </c>
      <c r="CE227">
        <v>-1.2999999999999999E-3</v>
      </c>
    </row>
    <row r="228" spans="2:83" ht="15.95" customHeight="1">
      <c r="B228" s="6">
        <f t="shared" ref="B228:B248" si="23">AS228+AT228*$B$15+AU228*$B$15^2+AV228*$B$15^3+AW228*$B$15^4+AX228*$B$15^5+AY228*$B$15^6+AZ228*$B$15^7+BA228*$B$15^8+BB228*$B$15^9</f>
        <v>-31279.559161594923</v>
      </c>
      <c r="C228" s="6">
        <f t="shared" si="20"/>
        <v>734796.0620638401</v>
      </c>
      <c r="D228" s="6">
        <f t="shared" si="21"/>
        <v>76.929338972404366</v>
      </c>
      <c r="E228" s="6">
        <f t="shared" si="22"/>
        <v>91.282900217628963</v>
      </c>
      <c r="F228" s="3"/>
      <c r="G228"/>
      <c r="H228" s="5"/>
      <c r="N228" s="2">
        <v>16</v>
      </c>
      <c r="O228" s="2" t="s">
        <v>2</v>
      </c>
      <c r="P228" s="4">
        <v>32.06</v>
      </c>
      <c r="Q228" s="26">
        <f>Q32</f>
        <v>0</v>
      </c>
      <c r="R228" s="6">
        <f>IF($B$15&lt;2.469528,B228,IF($B$15&lt;2.48436,C228,IF($B$15&lt;7.902609,D228,IF($B$15&lt;20.2,E228))))</f>
        <v>91.282900217628963</v>
      </c>
      <c r="S228" s="6">
        <f t="shared" si="2"/>
        <v>0</v>
      </c>
      <c r="T228" s="6" t="e">
        <f t="shared" si="3"/>
        <v>#DIV/0!</v>
      </c>
      <c r="U228" s="6" t="e">
        <f t="shared" ref="U228:U261" si="24">T228/100*R228</f>
        <v>#DIV/0!</v>
      </c>
      <c r="V228" s="49" t="s">
        <v>188</v>
      </c>
      <c r="W228" s="3"/>
      <c r="X228">
        <v>0.92500000000000004</v>
      </c>
      <c r="Y228" s="3" t="e">
        <f>((-LN(X228))/$M$22)*10000</f>
        <v>#DIV/0!</v>
      </c>
      <c r="Z228" s="36" t="e">
        <f t="shared" si="16"/>
        <v>#DIV/0!</v>
      </c>
      <c r="AA228" s="3" t="e">
        <f t="shared" si="5"/>
        <v>#DIV/0!</v>
      </c>
      <c r="AB228" s="36" t="e">
        <f t="shared" si="8"/>
        <v>#DIV/0!</v>
      </c>
      <c r="AC228" s="3" t="e">
        <f t="shared" si="9"/>
        <v>#DIV/0!</v>
      </c>
      <c r="AD228" s="36" t="e">
        <f t="shared" si="10"/>
        <v>#DIV/0!</v>
      </c>
      <c r="AE228" s="36" t="e">
        <f t="shared" si="11"/>
        <v>#DIV/0!</v>
      </c>
      <c r="AF228" s="36" t="e">
        <f t="shared" si="6"/>
        <v>#DIV/0!</v>
      </c>
      <c r="AG228" s="3" t="e">
        <f t="shared" si="7"/>
        <v>#DIV/0!</v>
      </c>
      <c r="AH228" s="36" t="e">
        <f t="shared" si="12"/>
        <v>#DIV/0!</v>
      </c>
      <c r="AI228" s="36" t="e">
        <f t="shared" si="17"/>
        <v>#DIV/0!</v>
      </c>
      <c r="AJ228" s="3" t="e">
        <f t="shared" si="13"/>
        <v>#DIV/0!</v>
      </c>
      <c r="AK228" s="36" t="e">
        <f t="shared" si="14"/>
        <v>#DIV/0!</v>
      </c>
      <c r="AL228" s="36" t="e">
        <f t="shared" si="15"/>
        <v>#DIV/0!</v>
      </c>
      <c r="AM228" s="36" t="e">
        <f t="shared" si="18"/>
        <v>#DIV/0!</v>
      </c>
      <c r="AP228" s="32">
        <v>16</v>
      </c>
      <c r="AQ228" s="1" t="s">
        <v>2</v>
      </c>
      <c r="AR228"/>
      <c r="AS228">
        <v>4425.7110499999999</v>
      </c>
      <c r="AT228">
        <v>-4408.4447200000004</v>
      </c>
      <c r="AU228">
        <v>1577.1626100000001</v>
      </c>
      <c r="AV228">
        <v>-196.40326999999999</v>
      </c>
      <c r="AW228" s="5"/>
      <c r="AX228" s="5"/>
      <c r="AY228" s="5"/>
      <c r="AZ228" s="5"/>
      <c r="BA228" s="5"/>
      <c r="BB228" s="5"/>
      <c r="BC228" s="5" t="s">
        <v>128</v>
      </c>
      <c r="BD228" s="5">
        <v>-324998.34999999998</v>
      </c>
      <c r="BE228" s="5">
        <v>131684.19633000001</v>
      </c>
      <c r="BF228" s="5"/>
      <c r="BG228" s="5"/>
      <c r="BH228" s="5"/>
      <c r="BI228" s="5"/>
      <c r="BJ228" s="5"/>
      <c r="BK228" s="5"/>
      <c r="BL228" s="5"/>
      <c r="BM228" s="5"/>
      <c r="BN228" s="5"/>
      <c r="BO228" s="5">
        <v>19310.65568</v>
      </c>
      <c r="BP228" s="5">
        <v>-15026.14078</v>
      </c>
      <c r="BQ228" s="5">
        <v>4918.3032700000003</v>
      </c>
      <c r="BR228" s="5">
        <v>-821.08491000000004</v>
      </c>
      <c r="BS228" s="5">
        <v>68.88073</v>
      </c>
      <c r="BT228" s="5">
        <v>-2.3049900000000001</v>
      </c>
      <c r="BZ228">
        <v>1252.57501</v>
      </c>
      <c r="CA228">
        <v>-354.47735</v>
      </c>
      <c r="CB228">
        <v>42.247979999999998</v>
      </c>
      <c r="CC228">
        <v>-2.5840299999999998</v>
      </c>
      <c r="CD228">
        <v>8.0030000000000004E-2</v>
      </c>
      <c r="CE228" s="31">
        <v>-9.9615800000000003E-4</v>
      </c>
    </row>
    <row r="229" spans="2:83" ht="15.95" customHeight="1">
      <c r="B229" s="6">
        <f t="shared" si="23"/>
        <v>6096.226996563837</v>
      </c>
      <c r="C229" s="6">
        <f t="shared" si="20"/>
        <v>474050.61896184005</v>
      </c>
      <c r="D229" s="6">
        <f t="shared" si="21"/>
        <v>-447.63741770283377</v>
      </c>
      <c r="E229" s="6">
        <f t="shared" si="22"/>
        <v>104.6590341154795</v>
      </c>
      <c r="F229" s="3"/>
      <c r="G229"/>
      <c r="H229" s="5"/>
      <c r="N229" s="2">
        <v>17</v>
      </c>
      <c r="O229" s="2" t="s">
        <v>28</v>
      </c>
      <c r="P229" s="4">
        <v>35.453000000000003</v>
      </c>
      <c r="Q229" s="26">
        <f>R32</f>
        <v>0</v>
      </c>
      <c r="R229" s="6">
        <f>IF($B$15&lt;2.819578,B229,IF($B$15&lt;2.83651,C229,IF($B$15&lt;6.469,D229,IF($B$15&lt;20.2,E229))))</f>
        <v>104.6590341154795</v>
      </c>
      <c r="S229" s="6">
        <f t="shared" si="2"/>
        <v>0</v>
      </c>
      <c r="T229" s="6" t="e">
        <f t="shared" si="3"/>
        <v>#DIV/0!</v>
      </c>
      <c r="U229" s="6" t="e">
        <f>T229/100*R229</f>
        <v>#DIV/0!</v>
      </c>
      <c r="V229" s="49" t="s">
        <v>188</v>
      </c>
      <c r="W229" s="3"/>
      <c r="X229">
        <v>0.92</v>
      </c>
      <c r="Y229" s="3" t="e">
        <f t="shared" ref="Y229:Y292" si="25">((-LN(X229))/$M$22)*10000</f>
        <v>#DIV/0!</v>
      </c>
      <c r="Z229" s="36" t="e">
        <f t="shared" si="16"/>
        <v>#DIV/0!</v>
      </c>
      <c r="AA229" s="3" t="e">
        <f t="shared" si="5"/>
        <v>#DIV/0!</v>
      </c>
      <c r="AB229" s="36" t="e">
        <f t="shared" si="8"/>
        <v>#DIV/0!</v>
      </c>
      <c r="AC229" s="3" t="e">
        <f t="shared" si="9"/>
        <v>#DIV/0!</v>
      </c>
      <c r="AD229" s="36" t="e">
        <f t="shared" si="10"/>
        <v>#DIV/0!</v>
      </c>
      <c r="AE229" s="36" t="e">
        <f t="shared" si="11"/>
        <v>#DIV/0!</v>
      </c>
      <c r="AF229" s="36" t="e">
        <f t="shared" si="6"/>
        <v>#DIV/0!</v>
      </c>
      <c r="AG229" s="3" t="e">
        <f t="shared" si="7"/>
        <v>#DIV/0!</v>
      </c>
      <c r="AH229" s="36" t="e">
        <f t="shared" si="12"/>
        <v>#DIV/0!</v>
      </c>
      <c r="AI229" s="36" t="e">
        <f t="shared" si="17"/>
        <v>#DIV/0!</v>
      </c>
      <c r="AJ229" s="3" t="e">
        <f t="shared" si="13"/>
        <v>#DIV/0!</v>
      </c>
      <c r="AK229" s="36" t="e">
        <f t="shared" si="14"/>
        <v>#DIV/0!</v>
      </c>
      <c r="AL229" s="36" t="e">
        <f t="shared" si="15"/>
        <v>#DIV/0!</v>
      </c>
      <c r="AM229" s="36" t="e">
        <f t="shared" si="18"/>
        <v>#DIV/0!</v>
      </c>
      <c r="AP229" s="32">
        <v>17</v>
      </c>
      <c r="AQ229" s="1" t="s">
        <v>28</v>
      </c>
      <c r="AR229"/>
      <c r="AS229" s="5">
        <v>2321.7710099999999</v>
      </c>
      <c r="AT229" s="5">
        <v>-1427.9926700000001</v>
      </c>
      <c r="AU229" s="5">
        <v>235.70895999999999</v>
      </c>
      <c r="AV229" s="5"/>
      <c r="AW229" s="5"/>
      <c r="AX229" s="5"/>
      <c r="AY229" s="5"/>
      <c r="AZ229" s="5"/>
      <c r="BA229" s="5"/>
      <c r="BB229" s="5"/>
      <c r="BC229" s="5" t="s">
        <v>128</v>
      </c>
      <c r="BD229" s="5">
        <v>-255387.89761000001</v>
      </c>
      <c r="BE229" s="5">
        <v>90635.998579999999</v>
      </c>
      <c r="BF229" s="5"/>
      <c r="BG229" s="5"/>
      <c r="BH229" s="5"/>
      <c r="BI229" s="5"/>
      <c r="BJ229" s="5"/>
      <c r="BK229" s="5"/>
      <c r="BL229" s="5"/>
      <c r="BM229" s="5"/>
      <c r="BN229" s="5"/>
      <c r="BO229">
        <v>21820.828839999998</v>
      </c>
      <c r="BP229">
        <v>-17706.459510000001</v>
      </c>
      <c r="BQ229">
        <v>6155.7655500000001</v>
      </c>
      <c r="BR229">
        <v>-1110.16579</v>
      </c>
      <c r="BS229">
        <v>102.1806</v>
      </c>
      <c r="BT229">
        <v>-3.8043900000000002</v>
      </c>
      <c r="BZ229">
        <v>1802.9204500000001</v>
      </c>
      <c r="CA229">
        <v>-549.54841999999996</v>
      </c>
      <c r="CB229">
        <v>70.097939999999994</v>
      </c>
      <c r="CC229">
        <v>-4.5554600000000001</v>
      </c>
      <c r="CD229">
        <v>0.14882999999999999</v>
      </c>
      <c r="CE229">
        <v>-1.9400000000000001E-3</v>
      </c>
    </row>
    <row r="230" spans="2:83" ht="15.95" customHeight="1">
      <c r="B230" s="6">
        <f t="shared" si="23"/>
        <v>-148590.0285781105</v>
      </c>
      <c r="C230" s="6">
        <f t="shared" si="20"/>
        <v>300305.85563448002</v>
      </c>
      <c r="D230" s="6">
        <f t="shared" si="21"/>
        <v>85.752595941201434</v>
      </c>
      <c r="E230" s="6">
        <f t="shared" si="22"/>
        <v>114.99137482696285</v>
      </c>
      <c r="F230" s="3"/>
      <c r="G230"/>
      <c r="H230" s="5"/>
      <c r="N230" s="2">
        <v>18</v>
      </c>
      <c r="O230" s="2" t="s">
        <v>52</v>
      </c>
      <c r="P230" s="4">
        <v>39.948</v>
      </c>
      <c r="Q230" s="26">
        <f>S32</f>
        <v>0</v>
      </c>
      <c r="R230" s="6">
        <f>IF($B$15&lt;3.18689,B230,IF($B$15&lt;3.21891,C230,IF($B$15&lt;7.39253,D230,IF($B$15&lt;20.2,E230))))</f>
        <v>114.99137482696285</v>
      </c>
      <c r="S230" s="6">
        <f t="shared" si="2"/>
        <v>0</v>
      </c>
      <c r="T230" s="6" t="e">
        <f t="shared" si="3"/>
        <v>#DIV/0!</v>
      </c>
      <c r="U230" s="6" t="e">
        <f>T230/100*R230</f>
        <v>#DIV/0!</v>
      </c>
      <c r="V230" s="49" t="s">
        <v>188</v>
      </c>
      <c r="W230" s="3"/>
      <c r="X230">
        <v>0.91500000000000004</v>
      </c>
      <c r="Y230" s="3" t="e">
        <f t="shared" si="25"/>
        <v>#DIV/0!</v>
      </c>
      <c r="Z230" s="36" t="e">
        <f t="shared" si="16"/>
        <v>#DIV/0!</v>
      </c>
      <c r="AA230" s="3" t="e">
        <f t="shared" si="5"/>
        <v>#DIV/0!</v>
      </c>
      <c r="AB230" s="36" t="e">
        <f t="shared" si="8"/>
        <v>#DIV/0!</v>
      </c>
      <c r="AC230" s="3" t="e">
        <f t="shared" si="9"/>
        <v>#DIV/0!</v>
      </c>
      <c r="AD230" s="36" t="e">
        <f t="shared" si="10"/>
        <v>#DIV/0!</v>
      </c>
      <c r="AE230" s="36" t="e">
        <f t="shared" si="11"/>
        <v>#DIV/0!</v>
      </c>
      <c r="AF230" s="36" t="e">
        <f t="shared" si="6"/>
        <v>#DIV/0!</v>
      </c>
      <c r="AG230" s="3" t="e">
        <f t="shared" si="7"/>
        <v>#DIV/0!</v>
      </c>
      <c r="AH230" s="36" t="e">
        <f t="shared" si="12"/>
        <v>#DIV/0!</v>
      </c>
      <c r="AI230" s="36" t="e">
        <f t="shared" si="17"/>
        <v>#DIV/0!</v>
      </c>
      <c r="AJ230" s="3" t="e">
        <f t="shared" si="13"/>
        <v>#DIV/0!</v>
      </c>
      <c r="AK230" s="36" t="e">
        <f t="shared" si="14"/>
        <v>#DIV/0!</v>
      </c>
      <c r="AL230" s="36" t="e">
        <f t="shared" si="15"/>
        <v>#DIV/0!</v>
      </c>
      <c r="AM230" s="36" t="e">
        <f t="shared" si="18"/>
        <v>#DIV/0!</v>
      </c>
      <c r="AP230" s="32">
        <v>18</v>
      </c>
      <c r="AQ230" s="1" t="s">
        <v>52</v>
      </c>
      <c r="AR230"/>
      <c r="AS230" s="5">
        <v>11021.004360000001</v>
      </c>
      <c r="AT230" s="5">
        <v>-16082.65733</v>
      </c>
      <c r="AU230" s="5">
        <v>10096.72012</v>
      </c>
      <c r="AV230" s="5">
        <v>-3310.4961499999999</v>
      </c>
      <c r="AW230" s="5">
        <v>559.11298999999997</v>
      </c>
      <c r="AX230" s="5">
        <v>-38.624189999999999</v>
      </c>
      <c r="AY230" s="5"/>
      <c r="AZ230" s="5"/>
      <c r="BA230" s="5"/>
      <c r="BB230" s="5"/>
      <c r="BC230" s="5" t="s">
        <v>128</v>
      </c>
      <c r="BD230" s="5">
        <v>-197964.89217000001</v>
      </c>
      <c r="BE230" s="5">
        <v>61912.369259999999</v>
      </c>
      <c r="BF230" s="5"/>
      <c r="BG230" s="5"/>
      <c r="BH230" s="5"/>
      <c r="BI230" s="5"/>
      <c r="BJ230" s="5"/>
      <c r="BK230" s="5"/>
      <c r="BL230" s="5"/>
      <c r="BM230" s="5"/>
      <c r="BN230" s="5"/>
      <c r="BO230" s="5">
        <v>16498.21775</v>
      </c>
      <c r="BP230" s="5">
        <v>-11648.74417</v>
      </c>
      <c r="BQ230" s="5">
        <v>3521.6137699999999</v>
      </c>
      <c r="BR230" s="5">
        <v>-552.13135</v>
      </c>
      <c r="BS230" s="5">
        <v>44.176079999999999</v>
      </c>
      <c r="BT230" s="5">
        <v>-1.4298599999999999</v>
      </c>
      <c r="BZ230">
        <v>1599.6607100000001</v>
      </c>
      <c r="CA230">
        <v>-455.06610999999998</v>
      </c>
      <c r="CB230">
        <v>54.45196</v>
      </c>
      <c r="CC230">
        <v>-3.33724</v>
      </c>
      <c r="CD230">
        <v>0.10337</v>
      </c>
      <c r="CE230">
        <v>-1.2800000000000001E-3</v>
      </c>
    </row>
    <row r="231" spans="2:83" ht="15.95" customHeight="1">
      <c r="B231" s="6">
        <f t="shared" si="23"/>
        <v>-32832.752242401242</v>
      </c>
      <c r="C231" s="6">
        <f t="shared" si="20"/>
        <v>220241.16306248002</v>
      </c>
      <c r="D231" s="6">
        <f t="shared" si="21"/>
        <v>105.57247755774006</v>
      </c>
      <c r="E231" s="6">
        <f t="shared" si="22"/>
        <v>143.55495450295524</v>
      </c>
      <c r="F231" s="3"/>
      <c r="G231"/>
      <c r="H231" s="5"/>
      <c r="N231" s="2">
        <v>19</v>
      </c>
      <c r="O231" s="2" t="s">
        <v>29</v>
      </c>
      <c r="P231" s="4">
        <v>39.098300000000002</v>
      </c>
      <c r="Q231" s="26">
        <f>B34</f>
        <v>0</v>
      </c>
      <c r="R231" s="6">
        <f>IF($B$15&lt;3.58936,B231,IF($B$15&lt;3.62544,C231,IF($B$15&lt;7.39253,D231,IF($B$15&lt;20.2,E231))))</f>
        <v>143.55495450295524</v>
      </c>
      <c r="S231" s="6">
        <f t="shared" si="2"/>
        <v>0</v>
      </c>
      <c r="T231" s="6" t="e">
        <f t="shared" si="3"/>
        <v>#DIV/0!</v>
      </c>
      <c r="U231" s="6" t="e">
        <f t="shared" ref="U231" si="26">T231/100*R231</f>
        <v>#DIV/0!</v>
      </c>
      <c r="V231" s="49" t="s">
        <v>188</v>
      </c>
      <c r="W231" s="3"/>
      <c r="X231">
        <v>0.91</v>
      </c>
      <c r="Y231" s="3" t="e">
        <f t="shared" si="25"/>
        <v>#DIV/0!</v>
      </c>
      <c r="Z231" s="36" t="e">
        <f t="shared" si="16"/>
        <v>#DIV/0!</v>
      </c>
      <c r="AA231" s="3" t="e">
        <f t="shared" si="5"/>
        <v>#DIV/0!</v>
      </c>
      <c r="AB231" s="36" t="e">
        <f t="shared" si="8"/>
        <v>#DIV/0!</v>
      </c>
      <c r="AC231" s="3" t="e">
        <f t="shared" si="9"/>
        <v>#DIV/0!</v>
      </c>
      <c r="AD231" s="36" t="e">
        <f t="shared" si="10"/>
        <v>#DIV/0!</v>
      </c>
      <c r="AE231" s="36" t="e">
        <f t="shared" si="11"/>
        <v>#DIV/0!</v>
      </c>
      <c r="AF231" s="36" t="e">
        <f t="shared" si="6"/>
        <v>#DIV/0!</v>
      </c>
      <c r="AG231" s="3" t="e">
        <f t="shared" si="7"/>
        <v>#DIV/0!</v>
      </c>
      <c r="AH231" s="36" t="e">
        <f t="shared" si="12"/>
        <v>#DIV/0!</v>
      </c>
      <c r="AI231" s="36" t="e">
        <f t="shared" si="17"/>
        <v>#DIV/0!</v>
      </c>
      <c r="AJ231" s="3" t="e">
        <f t="shared" si="13"/>
        <v>#DIV/0!</v>
      </c>
      <c r="AK231" s="36" t="e">
        <f t="shared" si="14"/>
        <v>#DIV/0!</v>
      </c>
      <c r="AL231" s="36" t="e">
        <f t="shared" si="15"/>
        <v>#DIV/0!</v>
      </c>
      <c r="AM231" s="36" t="e">
        <f t="shared" si="18"/>
        <v>#DIV/0!</v>
      </c>
      <c r="AP231" s="32">
        <v>19</v>
      </c>
      <c r="AQ231" s="1" t="s">
        <v>29</v>
      </c>
      <c r="AR231"/>
      <c r="AS231" s="5">
        <v>11349.09323</v>
      </c>
      <c r="AT231" s="5">
        <v>-14764.64392</v>
      </c>
      <c r="AU231" s="5">
        <v>8120.4299099999998</v>
      </c>
      <c r="AV231" s="5">
        <v>-2286.5568499999999</v>
      </c>
      <c r="AW231" s="5">
        <v>324.32204999999999</v>
      </c>
      <c r="AX231" s="5">
        <v>-18.363209999999999</v>
      </c>
      <c r="AY231" s="5"/>
      <c r="AZ231" s="5"/>
      <c r="BA231" s="5"/>
      <c r="BB231" s="5"/>
      <c r="BC231" s="5" t="s">
        <v>128</v>
      </c>
      <c r="BD231" s="5">
        <v>-178366.11843</v>
      </c>
      <c r="BE231" s="5">
        <v>49528.737760000004</v>
      </c>
      <c r="BF231" s="5"/>
      <c r="BG231" s="5"/>
      <c r="BH231" s="5"/>
      <c r="BI231" s="5"/>
      <c r="BJ231" s="5"/>
      <c r="BK231" s="5"/>
      <c r="BL231" s="5"/>
      <c r="BM231" s="5"/>
      <c r="BN231" s="5"/>
      <c r="BO231">
        <v>21083.73403</v>
      </c>
      <c r="BP231">
        <v>-15163.017099999999</v>
      </c>
      <c r="BQ231">
        <v>4662.8172599999998</v>
      </c>
      <c r="BR231">
        <v>-741.95151999999996</v>
      </c>
      <c r="BS231">
        <v>60.098080000000003</v>
      </c>
      <c r="BT231">
        <v>-1.96438</v>
      </c>
      <c r="BZ231">
        <v>1964.11653</v>
      </c>
      <c r="CA231">
        <v>-555.16795000000002</v>
      </c>
      <c r="CB231">
        <v>66.013379999999998</v>
      </c>
      <c r="CC231">
        <v>-4.0213099999999997</v>
      </c>
      <c r="CD231">
        <v>0.12385</v>
      </c>
      <c r="CE231">
        <v>-1.5299999999999999E-3</v>
      </c>
    </row>
    <row r="232" spans="2:83" ht="15.95" customHeight="1">
      <c r="B232" s="6">
        <f t="shared" si="23"/>
        <v>-58067.783651570557</v>
      </c>
      <c r="C232" s="6">
        <f t="shared" si="20"/>
        <v>178368.80315840003</v>
      </c>
      <c r="D232" s="6">
        <f t="shared" si="21"/>
        <v>115.21998786293261</v>
      </c>
      <c r="E232" s="6">
        <f t="shared" si="22"/>
        <v>168.93448826457552</v>
      </c>
      <c r="F232" s="3"/>
      <c r="G232"/>
      <c r="H232" s="5"/>
      <c r="N232" s="2">
        <v>20</v>
      </c>
      <c r="O232" s="2" t="s">
        <v>30</v>
      </c>
      <c r="P232" s="4">
        <v>40.08</v>
      </c>
      <c r="Q232" s="26">
        <f>C34</f>
        <v>0</v>
      </c>
      <c r="R232" s="6">
        <f>IF($B$15&lt;4.01791,B232,IF($B$15&lt;4.05502,C232,IF($B$15&lt;7.39252,D232,IF($B$15&lt;20.2,E232))))</f>
        <v>168.93448826457552</v>
      </c>
      <c r="S232" s="6">
        <f t="shared" si="2"/>
        <v>0</v>
      </c>
      <c r="T232" s="6" t="e">
        <f t="shared" si="3"/>
        <v>#DIV/0!</v>
      </c>
      <c r="U232" s="6" t="e">
        <f t="shared" ref="U232" si="27">T232/100*R232</f>
        <v>#DIV/0!</v>
      </c>
      <c r="V232" s="49" t="s">
        <v>188</v>
      </c>
      <c r="W232" s="3"/>
      <c r="X232">
        <v>0.90500000000000003</v>
      </c>
      <c r="Y232" s="3" t="e">
        <f t="shared" si="25"/>
        <v>#DIV/0!</v>
      </c>
      <c r="Z232" s="36" t="e">
        <f t="shared" si="16"/>
        <v>#DIV/0!</v>
      </c>
      <c r="AA232" s="3" t="e">
        <f t="shared" si="5"/>
        <v>#DIV/0!</v>
      </c>
      <c r="AB232" s="36" t="e">
        <f t="shared" si="8"/>
        <v>#DIV/0!</v>
      </c>
      <c r="AC232" s="3" t="e">
        <f t="shared" si="9"/>
        <v>#DIV/0!</v>
      </c>
      <c r="AD232" s="36" t="e">
        <f t="shared" si="10"/>
        <v>#DIV/0!</v>
      </c>
      <c r="AE232" s="36" t="e">
        <f t="shared" si="11"/>
        <v>#DIV/0!</v>
      </c>
      <c r="AF232" s="36" t="e">
        <f t="shared" si="6"/>
        <v>#DIV/0!</v>
      </c>
      <c r="AG232" s="3" t="e">
        <f t="shared" si="7"/>
        <v>#DIV/0!</v>
      </c>
      <c r="AH232" s="36" t="e">
        <f t="shared" si="12"/>
        <v>#DIV/0!</v>
      </c>
      <c r="AI232" s="36" t="e">
        <f t="shared" si="17"/>
        <v>#DIV/0!</v>
      </c>
      <c r="AJ232" s="3" t="e">
        <f t="shared" si="13"/>
        <v>#DIV/0!</v>
      </c>
      <c r="AK232" s="36" t="e">
        <f t="shared" si="14"/>
        <v>#DIV/0!</v>
      </c>
      <c r="AL232" s="36" t="e">
        <f t="shared" si="15"/>
        <v>#DIV/0!</v>
      </c>
      <c r="AM232" s="36" t="e">
        <f t="shared" si="18"/>
        <v>#DIV/0!</v>
      </c>
      <c r="AP232" s="32">
        <v>20</v>
      </c>
      <c r="AQ232" s="1" t="s">
        <v>30</v>
      </c>
      <c r="AR232"/>
      <c r="AS232" s="5">
        <v>14522.472239999999</v>
      </c>
      <c r="AT232" s="5">
        <v>-19243.728650000001</v>
      </c>
      <c r="AU232" s="5">
        <v>10807.5154</v>
      </c>
      <c r="AV232" s="5">
        <v>-3119.5787799999998</v>
      </c>
      <c r="AW232" s="5">
        <v>455.97996000000001</v>
      </c>
      <c r="AX232" s="5">
        <v>-26.789729999999999</v>
      </c>
      <c r="AY232" s="5"/>
      <c r="AZ232" s="5"/>
      <c r="BA232" s="5"/>
      <c r="BB232" s="5"/>
      <c r="BC232" s="5" t="s">
        <v>128</v>
      </c>
      <c r="BD232" s="5">
        <v>-179041.94769999999</v>
      </c>
      <c r="BE232" s="5">
        <v>44409.884550000002</v>
      </c>
      <c r="BF232" s="5"/>
      <c r="BG232" s="5"/>
      <c r="BH232" s="5"/>
      <c r="BI232" s="5"/>
      <c r="BJ232" s="5"/>
      <c r="BK232" s="5"/>
      <c r="BL232" s="5"/>
      <c r="BM232" s="5"/>
      <c r="BN232" s="5"/>
      <c r="BO232">
        <v>34337.018980000001</v>
      </c>
      <c r="BP232">
        <v>-25996.109349999999</v>
      </c>
      <c r="BQ232">
        <v>8231.2512200000001</v>
      </c>
      <c r="BR232">
        <v>-1328.57177</v>
      </c>
      <c r="BS232">
        <v>108.06904</v>
      </c>
      <c r="BT232">
        <v>-3.5236800000000001</v>
      </c>
      <c r="BZ232">
        <v>2267.8539900000001</v>
      </c>
      <c r="CA232">
        <v>-637.90170999999998</v>
      </c>
      <c r="CB232">
        <v>75.572329999999994</v>
      </c>
      <c r="CC232">
        <v>-4.5916600000000001</v>
      </c>
      <c r="CD232">
        <v>0.14119000000000001</v>
      </c>
      <c r="CE232">
        <v>-1.74E-3</v>
      </c>
    </row>
    <row r="233" spans="2:83" ht="15.95" customHeight="1">
      <c r="B233" s="6">
        <f t="shared" si="23"/>
        <v>-34962.400276535773</v>
      </c>
      <c r="C233" s="6">
        <f t="shared" si="20"/>
        <v>97424.51755496001</v>
      </c>
      <c r="D233" s="6">
        <f t="shared" si="21"/>
        <v>179.84053538852459</v>
      </c>
      <c r="E233" s="6">
        <f t="shared" si="22"/>
        <v>178.42949090573572</v>
      </c>
      <c r="F233" s="3"/>
      <c r="G233"/>
      <c r="H233" s="5"/>
      <c r="N233" s="2">
        <v>21</v>
      </c>
      <c r="O233" s="2" t="s">
        <v>53</v>
      </c>
      <c r="P233" s="4">
        <v>44.9559</v>
      </c>
      <c r="Q233" s="26">
        <f>D34</f>
        <v>0</v>
      </c>
      <c r="R233" s="6">
        <f>IF($B$15&lt;4.47034,B233,IF($B$15&lt;4.51526,C233,IF($B$15&lt;8.44789,D233,IF($B$15&lt;20.2,E233))))</f>
        <v>179.84053538852459</v>
      </c>
      <c r="S233" s="6">
        <f t="shared" si="2"/>
        <v>0</v>
      </c>
      <c r="T233" s="6" t="e">
        <f t="shared" si="3"/>
        <v>#DIV/0!</v>
      </c>
      <c r="U233" s="6" t="e">
        <f t="shared" ref="U233" si="28">T233/100*R233</f>
        <v>#DIV/0!</v>
      </c>
      <c r="V233" s="49" t="s">
        <v>188</v>
      </c>
      <c r="W233" s="3"/>
      <c r="X233">
        <v>0.9</v>
      </c>
      <c r="Y233" s="3" t="e">
        <f t="shared" si="25"/>
        <v>#DIV/0!</v>
      </c>
      <c r="Z233" s="36" t="e">
        <f t="shared" si="16"/>
        <v>#DIV/0!</v>
      </c>
      <c r="AA233" s="3" t="e">
        <f t="shared" si="5"/>
        <v>#DIV/0!</v>
      </c>
      <c r="AB233" s="36" t="e">
        <f t="shared" si="8"/>
        <v>#DIV/0!</v>
      </c>
      <c r="AC233" s="3" t="e">
        <f t="shared" si="9"/>
        <v>#DIV/0!</v>
      </c>
      <c r="AD233" s="36" t="e">
        <f t="shared" si="10"/>
        <v>#DIV/0!</v>
      </c>
      <c r="AE233" s="36" t="e">
        <f t="shared" si="11"/>
        <v>#DIV/0!</v>
      </c>
      <c r="AF233" s="36" t="e">
        <f t="shared" si="6"/>
        <v>#DIV/0!</v>
      </c>
      <c r="AG233" s="3" t="e">
        <f t="shared" si="7"/>
        <v>#DIV/0!</v>
      </c>
      <c r="AH233" s="36" t="e">
        <f t="shared" si="12"/>
        <v>#DIV/0!</v>
      </c>
      <c r="AI233" s="36" t="e">
        <f t="shared" si="17"/>
        <v>#DIV/0!</v>
      </c>
      <c r="AJ233" s="3" t="e">
        <f t="shared" si="13"/>
        <v>#DIV/0!</v>
      </c>
      <c r="AK233" s="36" t="e">
        <f t="shared" si="14"/>
        <v>#DIV/0!</v>
      </c>
      <c r="AL233" s="36" t="e">
        <f t="shared" si="15"/>
        <v>#DIV/0!</v>
      </c>
      <c r="AM233" s="36" t="e">
        <f t="shared" si="18"/>
        <v>#DIV/0!</v>
      </c>
      <c r="AP233" s="32">
        <v>21</v>
      </c>
      <c r="AQ233" s="1" t="s">
        <v>53</v>
      </c>
      <c r="AR233"/>
      <c r="AS233" s="5">
        <v>14039.46616</v>
      </c>
      <c r="AT233" s="5">
        <v>-17704.222900000001</v>
      </c>
      <c r="AU233" s="5">
        <v>9458.7094400000005</v>
      </c>
      <c r="AV233" s="5">
        <v>-2595.5748100000001</v>
      </c>
      <c r="AW233" s="5">
        <v>360.25867</v>
      </c>
      <c r="AX233" s="5">
        <v>-20.06691</v>
      </c>
      <c r="AY233" s="5"/>
      <c r="AZ233" s="5"/>
      <c r="BA233" s="5"/>
      <c r="BB233" s="5"/>
      <c r="BC233" s="5" t="s">
        <v>128</v>
      </c>
      <c r="BD233" s="5">
        <v>-122637.54399000001</v>
      </c>
      <c r="BE233" s="5">
        <v>27343.695520000001</v>
      </c>
      <c r="BF233" s="5"/>
      <c r="BG233" s="5"/>
      <c r="BH233" s="5"/>
      <c r="BI233" s="5"/>
      <c r="BJ233" s="5"/>
      <c r="BK233" s="5"/>
      <c r="BL233" s="5"/>
      <c r="BM233" s="5"/>
      <c r="BN233" s="5"/>
      <c r="BO233">
        <v>23757.353770000002</v>
      </c>
      <c r="BP233">
        <v>-15651.86795</v>
      </c>
      <c r="BQ233">
        <v>4330.6370999999999</v>
      </c>
      <c r="BR233">
        <v>-612.26234999999997</v>
      </c>
      <c r="BS233">
        <v>43.682769999999998</v>
      </c>
      <c r="BT233">
        <v>-1.25021</v>
      </c>
      <c r="BX233" s="31"/>
      <c r="BZ233">
        <v>2190.43523</v>
      </c>
      <c r="CA233">
        <v>-597.48770000000002</v>
      </c>
      <c r="CB233">
        <v>68.81</v>
      </c>
      <c r="CC233">
        <v>-4.07369</v>
      </c>
      <c r="CD233">
        <v>0.12232999999999999</v>
      </c>
      <c r="CE233">
        <v>-1.48E-3</v>
      </c>
    </row>
    <row r="234" spans="2:83" ht="15.95" customHeight="1">
      <c r="B234" s="6">
        <f t="shared" si="23"/>
        <v>-15854.225793069229</v>
      </c>
      <c r="C234" s="6">
        <f t="shared" si="20"/>
        <v>64380.993801360019</v>
      </c>
      <c r="D234" s="6">
        <f t="shared" si="21"/>
        <v>197.44427159438419</v>
      </c>
      <c r="E234" s="6">
        <f t="shared" si="22"/>
        <v>194.98809747543041</v>
      </c>
      <c r="F234" s="3"/>
      <c r="G234"/>
      <c r="H234" s="5"/>
      <c r="N234" s="2">
        <v>22</v>
      </c>
      <c r="O234" s="2" t="s">
        <v>31</v>
      </c>
      <c r="P234" s="4">
        <v>47.88</v>
      </c>
      <c r="Q234" s="26">
        <f>E34</f>
        <v>0</v>
      </c>
      <c r="R234" s="6">
        <f>IF($B$15&lt;4.96,B234,IF($B$15&lt;4.99123,C234,IF($B$15&lt;9.03079,D234,IF($B$15&lt;20.2,E234))))</f>
        <v>197.44427159438419</v>
      </c>
      <c r="S234" s="6">
        <f t="shared" si="2"/>
        <v>0</v>
      </c>
      <c r="T234" s="6" t="e">
        <f t="shared" si="3"/>
        <v>#DIV/0!</v>
      </c>
      <c r="U234" s="6" t="e">
        <f t="shared" ref="U234" si="29">T234/100*R234</f>
        <v>#DIV/0!</v>
      </c>
      <c r="V234" s="49" t="s">
        <v>188</v>
      </c>
      <c r="W234" s="3"/>
      <c r="X234">
        <v>0.89500000000000002</v>
      </c>
      <c r="Y234" s="3" t="e">
        <f t="shared" si="25"/>
        <v>#DIV/0!</v>
      </c>
      <c r="Z234" s="36" t="e">
        <f t="shared" si="16"/>
        <v>#DIV/0!</v>
      </c>
      <c r="AA234" s="3" t="e">
        <f t="shared" si="5"/>
        <v>#DIV/0!</v>
      </c>
      <c r="AB234" s="36" t="e">
        <f t="shared" si="8"/>
        <v>#DIV/0!</v>
      </c>
      <c r="AC234" s="3" t="e">
        <f t="shared" si="9"/>
        <v>#DIV/0!</v>
      </c>
      <c r="AD234" s="36" t="e">
        <f t="shared" si="10"/>
        <v>#DIV/0!</v>
      </c>
      <c r="AE234" s="36" t="e">
        <f t="shared" si="11"/>
        <v>#DIV/0!</v>
      </c>
      <c r="AF234" s="36" t="e">
        <f t="shared" si="6"/>
        <v>#DIV/0!</v>
      </c>
      <c r="AG234" s="3" t="e">
        <f t="shared" si="7"/>
        <v>#DIV/0!</v>
      </c>
      <c r="AH234" s="36" t="e">
        <f t="shared" si="12"/>
        <v>#DIV/0!</v>
      </c>
      <c r="AI234" s="36" t="e">
        <f t="shared" si="17"/>
        <v>#DIV/0!</v>
      </c>
      <c r="AJ234" s="3" t="e">
        <f t="shared" si="13"/>
        <v>#DIV/0!</v>
      </c>
      <c r="AK234" s="36" t="e">
        <f t="shared" si="14"/>
        <v>#DIV/0!</v>
      </c>
      <c r="AL234" s="36" t="e">
        <f t="shared" si="15"/>
        <v>#DIV/0!</v>
      </c>
      <c r="AM234" s="36" t="e">
        <f t="shared" si="18"/>
        <v>#DIV/0!</v>
      </c>
      <c r="AP234" s="32">
        <v>22</v>
      </c>
      <c r="AQ234" s="1" t="s">
        <v>31</v>
      </c>
      <c r="AR234"/>
      <c r="AS234" s="5">
        <v>13061.147650000001</v>
      </c>
      <c r="AT234" s="5">
        <v>-15285.73229</v>
      </c>
      <c r="AU234" s="5">
        <v>7583.5165800000004</v>
      </c>
      <c r="AV234" s="5">
        <v>-1932.7459899999999</v>
      </c>
      <c r="AW234" s="5">
        <v>249.03621000000001</v>
      </c>
      <c r="AX234" s="5">
        <v>-12.86477</v>
      </c>
      <c r="AY234" s="5"/>
      <c r="AZ234" s="5"/>
      <c r="BA234" s="5"/>
      <c r="BB234" s="5"/>
      <c r="BC234" s="5" t="s">
        <v>128</v>
      </c>
      <c r="BD234" s="5">
        <v>-103287.11335</v>
      </c>
      <c r="BE234" s="5">
        <v>20833.512320000002</v>
      </c>
      <c r="BF234" s="5"/>
      <c r="BG234" s="5"/>
      <c r="BH234" s="5"/>
      <c r="BI234" s="5"/>
      <c r="BJ234" s="5"/>
      <c r="BK234" s="5"/>
      <c r="BL234" s="5"/>
      <c r="BM234" s="5"/>
      <c r="BN234" s="5"/>
      <c r="BO234">
        <v>24172.777559999999</v>
      </c>
      <c r="BP234">
        <v>-15033.85756</v>
      </c>
      <c r="BQ234">
        <v>3904.36976</v>
      </c>
      <c r="BR234">
        <v>-516.41242999999997</v>
      </c>
      <c r="BS234">
        <v>34.403869999999998</v>
      </c>
      <c r="BT234">
        <v>-0.91846000000000005</v>
      </c>
      <c r="BZ234">
        <v>2053.6712299999999</v>
      </c>
      <c r="CA234">
        <v>-530.49204999999995</v>
      </c>
      <c r="CB234">
        <v>58.106749999999998</v>
      </c>
      <c r="CC234">
        <v>-3.2853500000000002</v>
      </c>
      <c r="CD234">
        <v>9.4589999999999994E-2</v>
      </c>
      <c r="CE234">
        <v>-1.1000000000000001E-3</v>
      </c>
    </row>
    <row r="235" spans="2:83" ht="15.95" customHeight="1">
      <c r="B235" s="6">
        <f t="shared" si="23"/>
        <v>-7229.5721851814887</v>
      </c>
      <c r="C235" s="6">
        <f t="shared" si="20"/>
        <v>41677.538545439995</v>
      </c>
      <c r="D235" s="6">
        <f t="shared" si="21"/>
        <v>217.26895975801017</v>
      </c>
      <c r="E235" s="6">
        <f t="shared" si="22"/>
        <v>210.14126428204298</v>
      </c>
      <c r="F235" s="3"/>
      <c r="G235"/>
      <c r="H235" s="5"/>
      <c r="N235" s="2">
        <v>23</v>
      </c>
      <c r="O235" s="2" t="s">
        <v>54</v>
      </c>
      <c r="P235" s="4">
        <v>50.941499999999998</v>
      </c>
      <c r="Q235" s="26">
        <f>F34</f>
        <v>0</v>
      </c>
      <c r="R235" s="6">
        <f>IF($B$15&lt;5.459,B235,IF($B$15&lt;5.49242,C235,IF($B$15&lt;9.03079,D235,IF($B$15&lt;20.2,E235))))</f>
        <v>217.26895975801017</v>
      </c>
      <c r="S235" s="6">
        <f t="shared" si="2"/>
        <v>0</v>
      </c>
      <c r="T235" s="6" t="e">
        <f t="shared" si="3"/>
        <v>#DIV/0!</v>
      </c>
      <c r="U235" s="6" t="e">
        <f t="shared" ref="U235" si="30">T235/100*R235</f>
        <v>#DIV/0!</v>
      </c>
      <c r="V235" s="49" t="s">
        <v>188</v>
      </c>
      <c r="W235" s="3"/>
      <c r="X235">
        <v>0.89</v>
      </c>
      <c r="Y235" s="3" t="e">
        <f t="shared" si="25"/>
        <v>#DIV/0!</v>
      </c>
      <c r="Z235" s="36" t="e">
        <f t="shared" si="16"/>
        <v>#DIV/0!</v>
      </c>
      <c r="AA235" s="3" t="e">
        <f t="shared" si="5"/>
        <v>#DIV/0!</v>
      </c>
      <c r="AB235" s="36" t="e">
        <f t="shared" si="8"/>
        <v>#DIV/0!</v>
      </c>
      <c r="AC235" s="3" t="e">
        <f t="shared" si="9"/>
        <v>#DIV/0!</v>
      </c>
      <c r="AD235" s="36" t="e">
        <f t="shared" si="10"/>
        <v>#DIV/0!</v>
      </c>
      <c r="AE235" s="36" t="e">
        <f t="shared" si="11"/>
        <v>#DIV/0!</v>
      </c>
      <c r="AF235" s="36" t="e">
        <f t="shared" si="6"/>
        <v>#DIV/0!</v>
      </c>
      <c r="AG235" s="3" t="e">
        <f t="shared" si="7"/>
        <v>#DIV/0!</v>
      </c>
      <c r="AH235" s="36" t="e">
        <f t="shared" si="12"/>
        <v>#DIV/0!</v>
      </c>
      <c r="AI235" s="36" t="e">
        <f t="shared" si="17"/>
        <v>#DIV/0!</v>
      </c>
      <c r="AJ235" s="3" t="e">
        <f t="shared" si="13"/>
        <v>#DIV/0!</v>
      </c>
      <c r="AK235" s="36" t="e">
        <f t="shared" si="14"/>
        <v>#DIV/0!</v>
      </c>
      <c r="AL235" s="36" t="e">
        <f t="shared" si="15"/>
        <v>#DIV/0!</v>
      </c>
      <c r="AM235" s="36" t="e">
        <f t="shared" si="18"/>
        <v>#DIV/0!</v>
      </c>
      <c r="AP235" s="32">
        <v>23</v>
      </c>
      <c r="AQ235" s="1" t="s">
        <v>54</v>
      </c>
      <c r="AR235"/>
      <c r="AS235" s="5">
        <v>12420.727650000001</v>
      </c>
      <c r="AT235" s="5">
        <v>-13592.3869</v>
      </c>
      <c r="AU235" s="5">
        <v>6297.8718200000003</v>
      </c>
      <c r="AV235" s="5">
        <v>-1497.5708099999999</v>
      </c>
      <c r="AW235" s="5">
        <v>179.8595</v>
      </c>
      <c r="AX235" s="5">
        <v>-8.6508599999999998</v>
      </c>
      <c r="AY235" s="5"/>
      <c r="AZ235" s="5"/>
      <c r="BA235" s="5"/>
      <c r="BB235" s="5"/>
      <c r="BC235" s="5" t="s">
        <v>128</v>
      </c>
      <c r="BD235" s="5">
        <v>-87702.345100000006</v>
      </c>
      <c r="BE235" s="5">
        <v>16076.029280000001</v>
      </c>
      <c r="BF235" s="5"/>
      <c r="BG235" s="5"/>
      <c r="BH235" s="5"/>
      <c r="BI235" s="5"/>
      <c r="BJ235" s="5"/>
      <c r="BK235" s="5"/>
      <c r="BL235" s="5"/>
      <c r="BM235" s="5"/>
      <c r="BN235" s="5"/>
      <c r="BO235">
        <v>30726.946329999999</v>
      </c>
      <c r="BP235">
        <v>-18788.41792</v>
      </c>
      <c r="BQ235">
        <v>4749.8289100000002</v>
      </c>
      <c r="BR235">
        <v>-608.74593000000004</v>
      </c>
      <c r="BS235">
        <v>39.226849999999999</v>
      </c>
      <c r="BT235">
        <v>-1.01267</v>
      </c>
      <c r="BZ235">
        <v>1954.24164</v>
      </c>
      <c r="CA235">
        <v>-482.2876</v>
      </c>
      <c r="CB235">
        <v>50.713839999999998</v>
      </c>
      <c r="CC235">
        <v>-2.7650999999999999</v>
      </c>
      <c r="CD235">
        <v>7.7090000000000006E-2</v>
      </c>
      <c r="CE235" s="31">
        <v>-8.7197499999999999E-4</v>
      </c>
    </row>
    <row r="236" spans="2:83" ht="15.95" customHeight="1">
      <c r="B236" s="6">
        <f t="shared" si="23"/>
        <v>-2962.2166324617283</v>
      </c>
      <c r="C236" s="6">
        <f t="shared" si="20"/>
        <v>26922.376357200003</v>
      </c>
      <c r="D236" s="6">
        <f t="shared" si="21"/>
        <v>247.26939516690072</v>
      </c>
      <c r="E236" s="6">
        <f t="shared" si="22"/>
        <v>223.3984739025548</v>
      </c>
      <c r="F236" s="3"/>
      <c r="G236"/>
      <c r="H236" s="5"/>
      <c r="N236" s="2">
        <v>24</v>
      </c>
      <c r="O236" s="2" t="s">
        <v>32</v>
      </c>
      <c r="P236" s="4">
        <v>51.996000000000002</v>
      </c>
      <c r="Q236" s="26">
        <f>G34</f>
        <v>0</v>
      </c>
      <c r="R236" s="6">
        <f>IF($B$15&lt;5.983,B236,IF($B$15&lt;6.01915,C236,IF($B$15&lt;10.32,D236,IF($B$15&lt;20.2,E236))))</f>
        <v>247.26939516690072</v>
      </c>
      <c r="S236" s="6">
        <f t="shared" si="2"/>
        <v>0</v>
      </c>
      <c r="T236" s="6" t="e">
        <f t="shared" si="3"/>
        <v>#DIV/0!</v>
      </c>
      <c r="U236" s="6" t="e">
        <f t="shared" ref="U236" si="31">T236/100*R236</f>
        <v>#DIV/0!</v>
      </c>
      <c r="V236" s="49" t="s">
        <v>188</v>
      </c>
      <c r="W236" s="3"/>
      <c r="X236">
        <v>0.88500000000000001</v>
      </c>
      <c r="Y236" s="3" t="e">
        <f t="shared" si="25"/>
        <v>#DIV/0!</v>
      </c>
      <c r="Z236" s="36" t="e">
        <f t="shared" si="16"/>
        <v>#DIV/0!</v>
      </c>
      <c r="AA236" s="3" t="e">
        <f t="shared" si="5"/>
        <v>#DIV/0!</v>
      </c>
      <c r="AB236" s="36" t="e">
        <f t="shared" si="8"/>
        <v>#DIV/0!</v>
      </c>
      <c r="AC236" s="3" t="e">
        <f t="shared" si="9"/>
        <v>#DIV/0!</v>
      </c>
      <c r="AD236" s="36" t="e">
        <f t="shared" si="10"/>
        <v>#DIV/0!</v>
      </c>
      <c r="AE236" s="36" t="e">
        <f t="shared" si="11"/>
        <v>#DIV/0!</v>
      </c>
      <c r="AF236" s="36" t="e">
        <f t="shared" si="6"/>
        <v>#DIV/0!</v>
      </c>
      <c r="AG236" s="3" t="e">
        <f t="shared" si="7"/>
        <v>#DIV/0!</v>
      </c>
      <c r="AH236" s="36" t="e">
        <f t="shared" si="12"/>
        <v>#DIV/0!</v>
      </c>
      <c r="AI236" s="36" t="e">
        <f t="shared" si="17"/>
        <v>#DIV/0!</v>
      </c>
      <c r="AJ236" s="3" t="e">
        <f t="shared" si="13"/>
        <v>#DIV/0!</v>
      </c>
      <c r="AK236" s="36" t="e">
        <f t="shared" si="14"/>
        <v>#DIV/0!</v>
      </c>
      <c r="AL236" s="36" t="e">
        <f t="shared" si="15"/>
        <v>#DIV/0!</v>
      </c>
      <c r="AM236" s="36" t="e">
        <f t="shared" si="18"/>
        <v>#DIV/0!</v>
      </c>
      <c r="AP236" s="32">
        <v>24</v>
      </c>
      <c r="AQ236" s="1" t="s">
        <v>32</v>
      </c>
      <c r="AR236"/>
      <c r="AS236" s="5">
        <v>12266.76427</v>
      </c>
      <c r="AT236" s="5">
        <v>-12547.89265</v>
      </c>
      <c r="AU236" s="5">
        <v>5419.0643099999998</v>
      </c>
      <c r="AV236" s="5">
        <v>-1198.2025100000001</v>
      </c>
      <c r="AW236" s="5">
        <v>133.53022999999999</v>
      </c>
      <c r="AX236" s="5">
        <v>-5.9483699999999997</v>
      </c>
      <c r="AY236" s="5"/>
      <c r="AZ236" s="5"/>
      <c r="BA236" s="5"/>
      <c r="BB236" s="5"/>
      <c r="BC236" s="5" t="s">
        <v>128</v>
      </c>
      <c r="BD236" s="5">
        <v>-77775.978310000006</v>
      </c>
      <c r="BE236" s="5">
        <v>13009.2389</v>
      </c>
      <c r="BF236" s="5"/>
      <c r="BG236" s="5"/>
      <c r="BH236" s="5"/>
      <c r="BI236" s="5"/>
      <c r="BJ236" s="5"/>
      <c r="BK236" s="5"/>
      <c r="BL236" s="5"/>
      <c r="BM236" s="5"/>
      <c r="BN236" s="5"/>
      <c r="BO236">
        <v>22427.942330000002</v>
      </c>
      <c r="BP236">
        <v>-12061.07099</v>
      </c>
      <c r="BQ236">
        <v>2693.9948300000001</v>
      </c>
      <c r="BR236">
        <v>-305.66710999999998</v>
      </c>
      <c r="BS236">
        <v>17.45044</v>
      </c>
      <c r="BT236">
        <v>-0.39915</v>
      </c>
      <c r="BZ236">
        <v>1490.5024100000001</v>
      </c>
      <c r="CA236">
        <v>-312.56488000000002</v>
      </c>
      <c r="CB236">
        <v>27.613849999999999</v>
      </c>
      <c r="CC236">
        <v>-1.2477400000000001</v>
      </c>
      <c r="CD236" s="31">
        <v>2.8340000000000001E-2</v>
      </c>
      <c r="CE236" s="31">
        <v>-2.5530399999999998E-4</v>
      </c>
    </row>
    <row r="237" spans="2:83" ht="15.95" customHeight="1">
      <c r="B237" s="6">
        <f t="shared" si="23"/>
        <v>-150899.62706028391</v>
      </c>
      <c r="C237" s="6">
        <f t="shared" ref="C237:C248" si="32">BD237+BE237*$B$15+BF237*$B$15^2+BG237*$B$15^3+BH237*$B$15^4+BI237*$B$15^5+BJ237*$B$15^6+BK237*$B$15^7+BL237*$B$15^8+BM237*$B$15^9</f>
        <v>-10.978638779277389</v>
      </c>
      <c r="D237" s="6">
        <f t="shared" ref="D237:D248" si="33">BO237+BP237*$B$15</f>
        <v>15629.188055679988</v>
      </c>
      <c r="E237" s="6">
        <f t="shared" si="22"/>
        <v>267.86180132658814</v>
      </c>
      <c r="F237" s="3"/>
      <c r="G237"/>
      <c r="H237" s="5"/>
      <c r="N237" s="2">
        <v>25</v>
      </c>
      <c r="O237" s="2" t="s">
        <v>33</v>
      </c>
      <c r="P237" s="4">
        <v>54.938000000000002</v>
      </c>
      <c r="Q237" s="26">
        <f>H34</f>
        <v>0</v>
      </c>
      <c r="R237" s="6">
        <f>IF($B$15&lt;3.548445,B237,IF($B$15&lt;6.5324,C237,IF($B$15&lt;6.571695,D237,IF($B$15&lt;20.2,E237))))</f>
        <v>267.86180132658814</v>
      </c>
      <c r="S237" s="6">
        <f t="shared" si="2"/>
        <v>0</v>
      </c>
      <c r="T237" s="6" t="e">
        <f t="shared" si="3"/>
        <v>#DIV/0!</v>
      </c>
      <c r="U237" s="6" t="e">
        <f t="shared" ref="U237" si="34">T237/100*R237</f>
        <v>#DIV/0!</v>
      </c>
      <c r="V237" s="49" t="s">
        <v>188</v>
      </c>
      <c r="W237" s="3"/>
      <c r="X237">
        <v>0.88</v>
      </c>
      <c r="Y237" s="3" t="e">
        <f t="shared" si="25"/>
        <v>#DIV/0!</v>
      </c>
      <c r="Z237" s="36" t="e">
        <f t="shared" si="16"/>
        <v>#DIV/0!</v>
      </c>
      <c r="AA237" s="3" t="e">
        <f t="shared" si="5"/>
        <v>#DIV/0!</v>
      </c>
      <c r="AB237" s="36" t="e">
        <f t="shared" si="8"/>
        <v>#DIV/0!</v>
      </c>
      <c r="AC237" s="3" t="e">
        <f t="shared" si="9"/>
        <v>#DIV/0!</v>
      </c>
      <c r="AD237" s="36" t="e">
        <f t="shared" si="10"/>
        <v>#DIV/0!</v>
      </c>
      <c r="AE237" s="36" t="e">
        <f t="shared" si="11"/>
        <v>#DIV/0!</v>
      </c>
      <c r="AF237" s="36" t="e">
        <f t="shared" si="6"/>
        <v>#DIV/0!</v>
      </c>
      <c r="AG237" s="3" t="e">
        <f t="shared" si="7"/>
        <v>#DIV/0!</v>
      </c>
      <c r="AH237" s="36" t="e">
        <f t="shared" si="12"/>
        <v>#DIV/0!</v>
      </c>
      <c r="AI237" s="36" t="e">
        <f t="shared" si="17"/>
        <v>#DIV/0!</v>
      </c>
      <c r="AJ237" s="3" t="e">
        <f t="shared" si="13"/>
        <v>#DIV/0!</v>
      </c>
      <c r="AK237" s="36" t="e">
        <f t="shared" si="14"/>
        <v>#DIV/0!</v>
      </c>
      <c r="AL237" s="36" t="e">
        <f t="shared" si="15"/>
        <v>#DIV/0!</v>
      </c>
      <c r="AM237" s="36" t="e">
        <f t="shared" si="18"/>
        <v>#DIV/0!</v>
      </c>
      <c r="AP237" s="32">
        <v>25</v>
      </c>
      <c r="AQ237" s="1" t="s">
        <v>33</v>
      </c>
      <c r="AR237"/>
      <c r="AS237" s="5">
        <v>26053.543669999999</v>
      </c>
      <c r="AT237" s="5">
        <v>-35416.825409999998</v>
      </c>
      <c r="AU237" s="5">
        <v>20578.55816</v>
      </c>
      <c r="AV237" s="5">
        <v>-6179.7604099999999</v>
      </c>
      <c r="AW237" s="5">
        <v>943.59965999999997</v>
      </c>
      <c r="AX237" s="5">
        <v>-58.112520000000004</v>
      </c>
      <c r="AY237" s="5"/>
      <c r="AZ237" s="5"/>
      <c r="BA237" s="5"/>
      <c r="BB237" s="5"/>
      <c r="BC237" s="5"/>
      <c r="BD237" s="5">
        <v>5722.7848299999996</v>
      </c>
      <c r="BE237" s="5">
        <v>-4278.8838400000004</v>
      </c>
      <c r="BF237" s="5">
        <v>1360.86058</v>
      </c>
      <c r="BG237" s="5">
        <v>-224.07390000000001</v>
      </c>
      <c r="BH237" s="5">
        <v>18.848050000000001</v>
      </c>
      <c r="BI237" s="5">
        <v>-0.64297000000000004</v>
      </c>
      <c r="BJ237" s="5"/>
      <c r="BK237" s="5"/>
      <c r="BL237" s="5"/>
      <c r="BM237" s="5"/>
      <c r="BN237" s="5" t="s">
        <v>128</v>
      </c>
      <c r="BO237">
        <v>-67079.735000000001</v>
      </c>
      <c r="BP237">
        <v>10276.953659999999</v>
      </c>
      <c r="BZ237">
        <v>4473.5481099999997</v>
      </c>
      <c r="CA237">
        <v>-1375.34881</v>
      </c>
      <c r="CB237">
        <v>177.90154000000001</v>
      </c>
      <c r="CC237">
        <v>-11.737259999999999</v>
      </c>
      <c r="CD237">
        <v>0.38907000000000003</v>
      </c>
      <c r="CE237" s="31">
        <v>-5.1399999999999996E-3</v>
      </c>
    </row>
    <row r="238" spans="2:83" ht="15.95" customHeight="1">
      <c r="B238" s="6">
        <f t="shared" si="23"/>
        <v>-118297.45318741864</v>
      </c>
      <c r="C238" s="6">
        <f t="shared" si="32"/>
        <v>28.633483878975312</v>
      </c>
      <c r="D238" s="6">
        <f t="shared" si="33"/>
        <v>8068.7801660800033</v>
      </c>
      <c r="E238" s="6">
        <f t="shared" si="22"/>
        <v>301.50293789913576</v>
      </c>
      <c r="F238" s="3"/>
      <c r="G238"/>
      <c r="H238" s="5"/>
      <c r="N238" s="2">
        <v>26</v>
      </c>
      <c r="O238" s="2" t="s">
        <v>34</v>
      </c>
      <c r="P238" s="4">
        <v>55.847000000000001</v>
      </c>
      <c r="Q238" s="26">
        <f>I34</f>
        <v>0</v>
      </c>
      <c r="R238" s="6">
        <f>IF($B$15&lt;3.793288,B238,IF($B$15&lt;7.1048,C238,IF($B$15&lt;7.14756,D238,IF($B$15&lt;20.2,E238))))</f>
        <v>301.50293789913576</v>
      </c>
      <c r="S238" s="6">
        <f t="shared" si="2"/>
        <v>0</v>
      </c>
      <c r="T238" s="6" t="e">
        <f t="shared" si="3"/>
        <v>#DIV/0!</v>
      </c>
      <c r="U238" s="6" t="e">
        <f t="shared" ref="U238" si="35">T238/100*R238</f>
        <v>#DIV/0!</v>
      </c>
      <c r="V238" s="49" t="s">
        <v>188</v>
      </c>
      <c r="W238" s="3"/>
      <c r="X238">
        <v>0.875</v>
      </c>
      <c r="Y238" s="3" t="e">
        <f t="shared" si="25"/>
        <v>#DIV/0!</v>
      </c>
      <c r="Z238" s="36" t="e">
        <f t="shared" si="16"/>
        <v>#DIV/0!</v>
      </c>
      <c r="AA238" s="3" t="e">
        <f t="shared" si="5"/>
        <v>#DIV/0!</v>
      </c>
      <c r="AB238" s="36" t="e">
        <f t="shared" si="8"/>
        <v>#DIV/0!</v>
      </c>
      <c r="AC238" s="3" t="e">
        <f t="shared" si="9"/>
        <v>#DIV/0!</v>
      </c>
      <c r="AD238" s="36" t="e">
        <f t="shared" si="10"/>
        <v>#DIV/0!</v>
      </c>
      <c r="AE238" s="36" t="e">
        <f t="shared" si="11"/>
        <v>#DIV/0!</v>
      </c>
      <c r="AF238" s="36" t="e">
        <f t="shared" si="6"/>
        <v>#DIV/0!</v>
      </c>
      <c r="AG238" s="3" t="e">
        <f t="shared" si="7"/>
        <v>#DIV/0!</v>
      </c>
      <c r="AH238" s="36" t="e">
        <f t="shared" si="12"/>
        <v>#DIV/0!</v>
      </c>
      <c r="AI238" s="36" t="e">
        <f t="shared" si="17"/>
        <v>#DIV/0!</v>
      </c>
      <c r="AJ238" s="3" t="e">
        <f t="shared" si="13"/>
        <v>#DIV/0!</v>
      </c>
      <c r="AK238" s="36" t="e">
        <f t="shared" si="14"/>
        <v>#DIV/0!</v>
      </c>
      <c r="AL238" s="36" t="e">
        <f t="shared" si="15"/>
        <v>#DIV/0!</v>
      </c>
      <c r="AM238" s="36" t="e">
        <f t="shared" si="18"/>
        <v>#DIV/0!</v>
      </c>
      <c r="AP238" s="32">
        <v>26</v>
      </c>
      <c r="AQ238" s="1" t="s">
        <v>34</v>
      </c>
      <c r="AR238"/>
      <c r="AS238" s="5">
        <v>28225.548330000001</v>
      </c>
      <c r="AT238" s="5">
        <v>-37292.850270000003</v>
      </c>
      <c r="AU238" s="5">
        <v>20990.343099999998</v>
      </c>
      <c r="AV238" s="5">
        <v>-6088.0047100000002</v>
      </c>
      <c r="AW238" s="5">
        <v>895.41789000000006</v>
      </c>
      <c r="AX238" s="5">
        <v>-52.983840000000001</v>
      </c>
      <c r="AY238" s="5"/>
      <c r="AZ238" s="5"/>
      <c r="BA238" s="5"/>
      <c r="BB238" s="5"/>
      <c r="BC238" s="5"/>
      <c r="BD238" s="5">
        <v>5266.6543799999999</v>
      </c>
      <c r="BE238" s="5">
        <v>-3635.1543999999999</v>
      </c>
      <c r="BF238" s="5">
        <v>1067.58592</v>
      </c>
      <c r="BG238" s="5">
        <v>-162.30440999999999</v>
      </c>
      <c r="BH238" s="5">
        <v>12.602180000000001</v>
      </c>
      <c r="BI238" s="5">
        <v>-0.39671000000000001</v>
      </c>
      <c r="BJ238" s="5"/>
      <c r="BK238" s="5"/>
      <c r="BL238" s="5"/>
      <c r="BM238" s="5"/>
      <c r="BN238" s="5" t="s">
        <v>128</v>
      </c>
      <c r="BO238">
        <v>-60358.080000000002</v>
      </c>
      <c r="BP238">
        <v>8502.3434600000001</v>
      </c>
      <c r="BZ238">
        <v>4430.87482</v>
      </c>
      <c r="CA238">
        <v>-1306.2378100000001</v>
      </c>
      <c r="CB238" s="31">
        <v>162.65656000000001</v>
      </c>
      <c r="CC238" s="31">
        <v>-10.37201</v>
      </c>
      <c r="CD238">
        <v>0.33356999999999998</v>
      </c>
      <c r="CE238">
        <v>-4.2900000000000004E-3</v>
      </c>
    </row>
    <row r="239" spans="2:83" ht="15.95" customHeight="1">
      <c r="B239" s="6">
        <f t="shared" si="23"/>
        <v>-104061.76034004148</v>
      </c>
      <c r="C239" s="6">
        <f t="shared" si="32"/>
        <v>39.079383651245735</v>
      </c>
      <c r="D239" s="6">
        <f t="shared" si="33"/>
        <v>2410.8987698399942</v>
      </c>
      <c r="E239" s="6">
        <f t="shared" si="22"/>
        <v>324.25627594527646</v>
      </c>
      <c r="F239" s="3"/>
      <c r="G239"/>
      <c r="H239" s="5"/>
      <c r="N239" s="2">
        <v>27</v>
      </c>
      <c r="O239" s="2" t="s">
        <v>35</v>
      </c>
      <c r="P239" s="4">
        <v>58.933199999999999</v>
      </c>
      <c r="Q239" s="26">
        <f>J34</f>
        <v>0</v>
      </c>
      <c r="R239" s="6">
        <f>IF($B$15&lt;4.055024,B239,IF($B$15&lt;7.701191,C239,IF($B$15&lt;7.747444,D239,IF($B$15&lt;20.2,E239))))</f>
        <v>324.25627594527646</v>
      </c>
      <c r="S239" s="6">
        <f t="shared" si="2"/>
        <v>0</v>
      </c>
      <c r="T239" s="6" t="e">
        <f t="shared" si="3"/>
        <v>#DIV/0!</v>
      </c>
      <c r="U239" s="6" t="e">
        <f>T239/100*R239</f>
        <v>#DIV/0!</v>
      </c>
      <c r="V239" s="49" t="s">
        <v>188</v>
      </c>
      <c r="W239" s="3"/>
      <c r="X239">
        <v>0.87</v>
      </c>
      <c r="Y239" s="3" t="e">
        <f t="shared" si="25"/>
        <v>#DIV/0!</v>
      </c>
      <c r="Z239" s="36" t="e">
        <f t="shared" si="16"/>
        <v>#DIV/0!</v>
      </c>
      <c r="AA239" s="3" t="e">
        <f t="shared" si="5"/>
        <v>#DIV/0!</v>
      </c>
      <c r="AB239" s="36" t="e">
        <f t="shared" si="8"/>
        <v>#DIV/0!</v>
      </c>
      <c r="AC239" s="3" t="e">
        <f t="shared" si="9"/>
        <v>#DIV/0!</v>
      </c>
      <c r="AD239" s="36" t="e">
        <f t="shared" si="10"/>
        <v>#DIV/0!</v>
      </c>
      <c r="AE239" s="36" t="e">
        <f t="shared" si="11"/>
        <v>#DIV/0!</v>
      </c>
      <c r="AF239" s="36" t="e">
        <f t="shared" si="6"/>
        <v>#DIV/0!</v>
      </c>
      <c r="AG239" s="3" t="e">
        <f t="shared" si="7"/>
        <v>#DIV/0!</v>
      </c>
      <c r="AH239" s="36" t="e">
        <f t="shared" si="12"/>
        <v>#DIV/0!</v>
      </c>
      <c r="AI239" s="36" t="e">
        <f t="shared" si="17"/>
        <v>#DIV/0!</v>
      </c>
      <c r="AJ239" s="3" t="e">
        <f t="shared" si="13"/>
        <v>#DIV/0!</v>
      </c>
      <c r="AK239" s="36" t="e">
        <f t="shared" si="14"/>
        <v>#DIV/0!</v>
      </c>
      <c r="AL239" s="36" t="e">
        <f t="shared" si="15"/>
        <v>#DIV/0!</v>
      </c>
      <c r="AM239" s="36" t="e">
        <f t="shared" si="18"/>
        <v>#DIV/0!</v>
      </c>
      <c r="AP239" s="32">
        <v>27</v>
      </c>
      <c r="AQ239" s="1" t="s">
        <v>35</v>
      </c>
      <c r="AR239"/>
      <c r="AS239" s="5">
        <v>29530.871760000002</v>
      </c>
      <c r="AT239" s="5">
        <v>-38245.902880000001</v>
      </c>
      <c r="AU239" s="5">
        <v>21095.252069999999</v>
      </c>
      <c r="AV239" s="5">
        <v>-5995.5387499999997</v>
      </c>
      <c r="AW239" s="5">
        <v>864.21321</v>
      </c>
      <c r="AX239" s="5">
        <v>-50.125219999999999</v>
      </c>
      <c r="AY239" s="5"/>
      <c r="AZ239" s="5"/>
      <c r="BA239" s="5"/>
      <c r="BB239" s="5"/>
      <c r="BC239" s="5"/>
      <c r="BD239" s="5">
        <v>5213.1307900000002</v>
      </c>
      <c r="BE239" s="5">
        <v>-3437.6248000000001</v>
      </c>
      <c r="BF239" s="5">
        <v>962.19641999999999</v>
      </c>
      <c r="BG239" s="5">
        <v>-139.07140000000001</v>
      </c>
      <c r="BH239" s="5">
        <v>10.24081</v>
      </c>
      <c r="BI239" s="5">
        <v>-0.30501</v>
      </c>
      <c r="BJ239" s="5"/>
      <c r="BK239" s="5"/>
      <c r="BL239" s="5"/>
      <c r="BM239" s="5"/>
      <c r="BN239" s="5" t="s">
        <v>128</v>
      </c>
      <c r="BO239">
        <v>-52493.781170000002</v>
      </c>
      <c r="BP239">
        <v>6822.1520799999998</v>
      </c>
      <c r="BZ239">
        <v>4253.2104099999997</v>
      </c>
      <c r="CA239" s="31">
        <v>-1205.8311100000001</v>
      </c>
      <c r="CB239" s="31">
        <v>144.89992000000001</v>
      </c>
      <c r="CC239">
        <v>-8.9481999999999999</v>
      </c>
      <c r="CD239">
        <v>0.27967999999999998</v>
      </c>
      <c r="CE239">
        <v>-3.5100000000000001E-3</v>
      </c>
    </row>
    <row r="240" spans="2:83" ht="15.95" customHeight="1">
      <c r="B240" s="6">
        <f t="shared" si="23"/>
        <v>-78059.148316016654</v>
      </c>
      <c r="C240" s="6">
        <f t="shared" si="32"/>
        <v>46.683941696345755</v>
      </c>
      <c r="D240" s="6">
        <f t="shared" si="33"/>
        <v>-1567.1451692799965</v>
      </c>
      <c r="E240" s="6">
        <f t="shared" si="22"/>
        <v>366.11528488018092</v>
      </c>
      <c r="F240" s="3"/>
      <c r="G240"/>
      <c r="H240" s="5"/>
      <c r="N240" s="2">
        <v>28</v>
      </c>
      <c r="O240" s="2" t="s">
        <v>36</v>
      </c>
      <c r="P240" s="4">
        <v>58.69</v>
      </c>
      <c r="Q240" s="26">
        <f>K34</f>
        <v>0</v>
      </c>
      <c r="R240" s="6">
        <f>IF($B$15&lt;4.334821,B240,IF($B$15&lt;8.324467,C240,IF($B$15&lt;8.374464,D240,IF($B$15&lt;20.2,E240))))</f>
        <v>46.683941696345755</v>
      </c>
      <c r="S240" s="6">
        <f t="shared" si="2"/>
        <v>0</v>
      </c>
      <c r="T240" s="6" t="e">
        <f t="shared" si="3"/>
        <v>#DIV/0!</v>
      </c>
      <c r="U240" s="6" t="e">
        <f>T240/100*R240</f>
        <v>#DIV/0!</v>
      </c>
      <c r="V240" s="49" t="s">
        <v>188</v>
      </c>
      <c r="W240" s="3"/>
      <c r="X240">
        <v>0.86499999999999999</v>
      </c>
      <c r="Y240" s="3" t="e">
        <f t="shared" si="25"/>
        <v>#DIV/0!</v>
      </c>
      <c r="Z240" s="36" t="e">
        <f t="shared" si="16"/>
        <v>#DIV/0!</v>
      </c>
      <c r="AA240" s="3" t="e">
        <f t="shared" si="5"/>
        <v>#DIV/0!</v>
      </c>
      <c r="AB240" s="36" t="e">
        <f t="shared" si="8"/>
        <v>#DIV/0!</v>
      </c>
      <c r="AC240" s="3" t="e">
        <f t="shared" si="9"/>
        <v>#DIV/0!</v>
      </c>
      <c r="AD240" s="36" t="e">
        <f t="shared" si="10"/>
        <v>#DIV/0!</v>
      </c>
      <c r="AE240" s="36" t="e">
        <f t="shared" si="11"/>
        <v>#DIV/0!</v>
      </c>
      <c r="AF240" s="36" t="e">
        <f t="shared" si="6"/>
        <v>#DIV/0!</v>
      </c>
      <c r="AG240" s="3" t="e">
        <f t="shared" si="7"/>
        <v>#DIV/0!</v>
      </c>
      <c r="AH240" s="36" t="e">
        <f t="shared" si="12"/>
        <v>#DIV/0!</v>
      </c>
      <c r="AI240" s="36" t="e">
        <f t="shared" si="17"/>
        <v>#DIV/0!</v>
      </c>
      <c r="AJ240" s="3" t="e">
        <f t="shared" si="13"/>
        <v>#DIV/0!</v>
      </c>
      <c r="AK240" s="36" t="e">
        <f t="shared" si="14"/>
        <v>#DIV/0!</v>
      </c>
      <c r="AL240" s="36" t="e">
        <f t="shared" si="15"/>
        <v>#DIV/0!</v>
      </c>
      <c r="AM240" s="36" t="e">
        <f t="shared" si="18"/>
        <v>#DIV/0!</v>
      </c>
      <c r="AP240" s="32">
        <v>28</v>
      </c>
      <c r="AQ240" s="1" t="s">
        <v>36</v>
      </c>
      <c r="AR240"/>
      <c r="AS240" s="5">
        <v>31206.53227</v>
      </c>
      <c r="AT240" s="5">
        <v>-38913.431570000001</v>
      </c>
      <c r="AU240" s="5">
        <v>20666.9611</v>
      </c>
      <c r="AV240" s="5">
        <v>-5656.2725700000001</v>
      </c>
      <c r="AW240" s="5">
        <v>785.01113999999995</v>
      </c>
      <c r="AX240" s="5">
        <v>-43.820729999999998</v>
      </c>
      <c r="AY240" s="5"/>
      <c r="AZ240" s="5"/>
      <c r="BA240" s="5"/>
      <c r="BB240" s="5"/>
      <c r="BC240" s="5"/>
      <c r="BD240" s="5">
        <v>4920.2904200000003</v>
      </c>
      <c r="BE240" s="5">
        <v>-3000.7184400000001</v>
      </c>
      <c r="BF240" s="5">
        <v>777.14350999999999</v>
      </c>
      <c r="BG240" s="5">
        <v>-103.95971</v>
      </c>
      <c r="BH240" s="5">
        <v>7.0864900000000004</v>
      </c>
      <c r="BI240" s="5">
        <v>-0.19541</v>
      </c>
      <c r="BJ240" s="5"/>
      <c r="BK240" s="5"/>
      <c r="BL240" s="5"/>
      <c r="BM240" s="5"/>
      <c r="BN240" s="5" t="s">
        <v>128</v>
      </c>
      <c r="BO240">
        <v>-48432.012419999999</v>
      </c>
      <c r="BP240">
        <v>5823.16939</v>
      </c>
      <c r="BZ240" s="31">
        <v>4179.7415499999997</v>
      </c>
      <c r="CA240">
        <v>-1127.4540300000001</v>
      </c>
      <c r="CB240">
        <v>129.47671</v>
      </c>
      <c r="CC240">
        <v>-7.6775700000000002</v>
      </c>
      <c r="CD240">
        <v>0.23150000000000001</v>
      </c>
      <c r="CE240">
        <v>-2.82E-3</v>
      </c>
    </row>
    <row r="241" spans="2:232" ht="15.95" customHeight="1">
      <c r="B241" s="6">
        <f t="shared" si="23"/>
        <v>-47503.420884726569</v>
      </c>
      <c r="C241" s="6">
        <f t="shared" si="32"/>
        <v>49.701279680069547</v>
      </c>
      <c r="D241" s="6">
        <f t="shared" si="33"/>
        <v>-3706.4907537600011</v>
      </c>
      <c r="E241" s="6">
        <f t="shared" si="22"/>
        <v>383.7711704935665</v>
      </c>
      <c r="F241" s="3"/>
      <c r="G241"/>
      <c r="H241" s="5"/>
      <c r="N241" s="2">
        <v>29</v>
      </c>
      <c r="O241" s="2" t="s">
        <v>1</v>
      </c>
      <c r="P241" s="4">
        <v>63.545999999999999</v>
      </c>
      <c r="Q241" s="26">
        <f>L34</f>
        <v>0</v>
      </c>
      <c r="R241" s="6">
        <f>IF($B$15&lt;4.633924,B241,IF($B$15&lt;8.969921,C241,IF($B$15&lt;9.030794,D241,IF($B$15&lt;20.2,E241))))</f>
        <v>49.701279680069547</v>
      </c>
      <c r="S241" s="6">
        <f t="shared" si="2"/>
        <v>0</v>
      </c>
      <c r="T241" s="6" t="e">
        <f t="shared" si="3"/>
        <v>#DIV/0!</v>
      </c>
      <c r="U241" s="6" t="e">
        <f>T241/100*R241</f>
        <v>#DIV/0!</v>
      </c>
      <c r="V241" s="49" t="s">
        <v>188</v>
      </c>
      <c r="W241" s="3"/>
      <c r="X241">
        <v>0.86</v>
      </c>
      <c r="Y241" s="3" t="e">
        <f t="shared" si="25"/>
        <v>#DIV/0!</v>
      </c>
      <c r="Z241" s="36" t="e">
        <f t="shared" si="16"/>
        <v>#DIV/0!</v>
      </c>
      <c r="AA241" s="3" t="e">
        <f t="shared" si="5"/>
        <v>#DIV/0!</v>
      </c>
      <c r="AB241" s="36" t="e">
        <f t="shared" si="8"/>
        <v>#DIV/0!</v>
      </c>
      <c r="AC241" s="3" t="e">
        <f t="shared" si="9"/>
        <v>#DIV/0!</v>
      </c>
      <c r="AD241" s="36" t="e">
        <f t="shared" si="10"/>
        <v>#DIV/0!</v>
      </c>
      <c r="AE241" s="36" t="e">
        <f t="shared" si="11"/>
        <v>#DIV/0!</v>
      </c>
      <c r="AF241" s="36" t="e">
        <f t="shared" si="6"/>
        <v>#DIV/0!</v>
      </c>
      <c r="AG241" s="3" t="e">
        <f t="shared" si="7"/>
        <v>#DIV/0!</v>
      </c>
      <c r="AH241" s="36" t="e">
        <f t="shared" si="12"/>
        <v>#DIV/0!</v>
      </c>
      <c r="AI241" s="36" t="e">
        <f t="shared" si="17"/>
        <v>#DIV/0!</v>
      </c>
      <c r="AJ241" s="3" t="e">
        <f t="shared" si="13"/>
        <v>#DIV/0!</v>
      </c>
      <c r="AK241" s="36" t="e">
        <f t="shared" si="14"/>
        <v>#DIV/0!</v>
      </c>
      <c r="AL241" s="36" t="e">
        <f t="shared" si="15"/>
        <v>#DIV/0!</v>
      </c>
      <c r="AM241" s="36" t="e">
        <f t="shared" si="18"/>
        <v>#DIV/0!</v>
      </c>
      <c r="AP241" s="32">
        <v>29</v>
      </c>
      <c r="AQ241" s="1" t="s">
        <v>1</v>
      </c>
      <c r="AR241"/>
      <c r="AS241" s="5">
        <v>29154.40842</v>
      </c>
      <c r="AT241" s="5">
        <v>-34636.339310000003</v>
      </c>
      <c r="AU241" s="5">
        <v>17545.141049999998</v>
      </c>
      <c r="AV241" s="5">
        <v>-4584.0759399999997</v>
      </c>
      <c r="AW241" s="5">
        <v>607.67187999999999</v>
      </c>
      <c r="AX241" s="5">
        <v>-32.404240000000001</v>
      </c>
      <c r="AY241" s="5"/>
      <c r="AZ241" s="5"/>
      <c r="BA241" s="5"/>
      <c r="BB241" s="5"/>
      <c r="BC241" s="5"/>
      <c r="BD241" s="5">
        <v>4187.7775499999998</v>
      </c>
      <c r="BE241" s="5">
        <v>-2358.45255</v>
      </c>
      <c r="BF241" s="5">
        <v>564.8152</v>
      </c>
      <c r="BG241" s="5">
        <v>-69.942670000000007</v>
      </c>
      <c r="BH241" s="5">
        <v>4.4176299999999999</v>
      </c>
      <c r="BI241" s="5">
        <v>-0.11297</v>
      </c>
      <c r="BJ241" s="5"/>
      <c r="BK241" s="5"/>
      <c r="BL241" s="5"/>
      <c r="BM241" s="5"/>
      <c r="BN241" s="5" t="s">
        <v>128</v>
      </c>
      <c r="BO241">
        <v>-36389.78196</v>
      </c>
      <c r="BP241">
        <v>4061.04513</v>
      </c>
      <c r="BZ241" s="31">
        <v>5243.63346</v>
      </c>
      <c r="CA241" s="31">
        <v>-1502.87538</v>
      </c>
      <c r="CB241">
        <v>181.95063999999999</v>
      </c>
      <c r="CC241">
        <v>-11.28519</v>
      </c>
      <c r="CD241">
        <v>0.35338000000000003</v>
      </c>
      <c r="CE241">
        <v>-4.4299999999999999E-3</v>
      </c>
    </row>
    <row r="242" spans="2:232" ht="15.95" customHeight="1">
      <c r="B242" s="6">
        <f t="shared" si="23"/>
        <v>-50436.777971383883</v>
      </c>
      <c r="C242" s="6">
        <f t="shared" si="32"/>
        <v>55.886973137755831</v>
      </c>
      <c r="D242" s="6">
        <f t="shared" si="33"/>
        <v>-6736.4829544800014</v>
      </c>
      <c r="E242" s="6">
        <f t="shared" si="22"/>
        <v>436.18768515078136</v>
      </c>
      <c r="F242" s="3"/>
      <c r="G242"/>
      <c r="H242" s="5"/>
      <c r="N242" s="2">
        <v>30</v>
      </c>
      <c r="O242" s="2" t="s">
        <v>3</v>
      </c>
      <c r="P242" s="4">
        <v>65.38</v>
      </c>
      <c r="Q242" s="26">
        <f>M34</f>
        <v>0</v>
      </c>
      <c r="R242" s="6">
        <f>IF($B$15&lt;4.69039,B242,IF($B$15&lt;9.653919,C242,IF($B$15&lt;9.706893,D242,IF($B$15&lt;20.2,E242))))</f>
        <v>55.886973137755831</v>
      </c>
      <c r="S242" s="6">
        <f t="shared" si="2"/>
        <v>0</v>
      </c>
      <c r="T242" s="6" t="e">
        <f t="shared" si="3"/>
        <v>#DIV/0!</v>
      </c>
      <c r="U242" s="6" t="e">
        <f t="shared" si="24"/>
        <v>#DIV/0!</v>
      </c>
      <c r="V242" s="49" t="s">
        <v>188</v>
      </c>
      <c r="W242" s="3"/>
      <c r="X242">
        <v>0.85499999999999998</v>
      </c>
      <c r="Y242" s="3" t="e">
        <f t="shared" si="25"/>
        <v>#DIV/0!</v>
      </c>
      <c r="Z242" s="36" t="e">
        <f t="shared" si="16"/>
        <v>#DIV/0!</v>
      </c>
      <c r="AA242" s="3" t="e">
        <f t="shared" si="5"/>
        <v>#DIV/0!</v>
      </c>
      <c r="AB242" s="36" t="e">
        <f t="shared" si="8"/>
        <v>#DIV/0!</v>
      </c>
      <c r="AC242" s="3" t="e">
        <f t="shared" si="9"/>
        <v>#DIV/0!</v>
      </c>
      <c r="AD242" s="36" t="e">
        <f t="shared" si="10"/>
        <v>#DIV/0!</v>
      </c>
      <c r="AE242" s="36" t="e">
        <f t="shared" si="11"/>
        <v>#DIV/0!</v>
      </c>
      <c r="AF242" s="36" t="e">
        <f t="shared" si="6"/>
        <v>#DIV/0!</v>
      </c>
      <c r="AG242" s="3" t="e">
        <f t="shared" si="7"/>
        <v>#DIV/0!</v>
      </c>
      <c r="AH242" s="36" t="e">
        <f t="shared" si="12"/>
        <v>#DIV/0!</v>
      </c>
      <c r="AI242" s="36" t="e">
        <f t="shared" si="17"/>
        <v>#DIV/0!</v>
      </c>
      <c r="AJ242" s="3" t="e">
        <f t="shared" si="13"/>
        <v>#DIV/0!</v>
      </c>
      <c r="AK242" s="36" t="e">
        <f t="shared" si="14"/>
        <v>#DIV/0!</v>
      </c>
      <c r="AL242" s="36" t="e">
        <f t="shared" si="15"/>
        <v>#DIV/0!</v>
      </c>
      <c r="AM242" s="36" t="e">
        <f t="shared" si="18"/>
        <v>#DIV/0!</v>
      </c>
      <c r="AP242" s="32">
        <v>30</v>
      </c>
      <c r="AQ242" s="1" t="s">
        <v>3</v>
      </c>
      <c r="AR242"/>
      <c r="AS242" s="5">
        <v>31348.516439999999</v>
      </c>
      <c r="AT242" s="5">
        <v>-36895.559690000002</v>
      </c>
      <c r="AU242" s="5">
        <v>18566.805830000001</v>
      </c>
      <c r="AV242" s="5">
        <v>-4831.8513800000001</v>
      </c>
      <c r="AW242" s="5">
        <v>639.39837999999997</v>
      </c>
      <c r="AX242" s="5">
        <v>-34.094239999999999</v>
      </c>
      <c r="AY242" s="5"/>
      <c r="AZ242" s="5"/>
      <c r="BA242" s="5"/>
      <c r="BB242" s="5"/>
      <c r="BC242" s="5"/>
      <c r="BD242" s="5">
        <v>3941.9230200000002</v>
      </c>
      <c r="BE242" s="5">
        <v>-2085.0427300000001</v>
      </c>
      <c r="BF242" s="5">
        <v>469.51269000000002</v>
      </c>
      <c r="BG242" s="5">
        <v>-54.734699999999997</v>
      </c>
      <c r="BH242" s="5">
        <v>3.2588900000000001</v>
      </c>
      <c r="BI242" s="5">
        <v>-7.8670000000000004E-2</v>
      </c>
      <c r="BJ242" s="5"/>
      <c r="BK242" s="5"/>
      <c r="BL242" s="5"/>
      <c r="BM242" s="5"/>
      <c r="BN242" s="5" t="s">
        <v>128</v>
      </c>
      <c r="BO242">
        <v>-40665.881090000003</v>
      </c>
      <c r="BP242">
        <v>4215.8794900000003</v>
      </c>
      <c r="BZ242">
        <v>6673.4744600000004</v>
      </c>
      <c r="CA242">
        <v>-1949.0931800000001</v>
      </c>
      <c r="CB242">
        <v>238.00130999999999</v>
      </c>
      <c r="CC242">
        <v>-14.791600000000001</v>
      </c>
      <c r="CD242">
        <v>0.46223999999999998</v>
      </c>
      <c r="CE242">
        <v>-5.7800000000000004E-3</v>
      </c>
    </row>
    <row r="243" spans="2:232" ht="15.95" customHeight="1">
      <c r="B243" s="6">
        <f t="shared" si="23"/>
        <v>-61704.567415639758</v>
      </c>
      <c r="C243" s="6">
        <f t="shared" si="32"/>
        <v>59.727373437742699</v>
      </c>
      <c r="D243" s="6">
        <f t="shared" si="33"/>
        <v>-7190.8633962400017</v>
      </c>
      <c r="E243" s="6">
        <f t="shared" si="22"/>
        <v>490.86425744909377</v>
      </c>
      <c r="F243" s="3"/>
      <c r="G243"/>
      <c r="H243" s="5"/>
      <c r="N243" s="2">
        <v>31</v>
      </c>
      <c r="O243" s="2" t="s">
        <v>4</v>
      </c>
      <c r="P243" s="4">
        <v>69.722999999999999</v>
      </c>
      <c r="Q243" s="26">
        <f>N34</f>
        <v>0</v>
      </c>
      <c r="R243" s="6">
        <f>IF($B$15&lt;4.506926,B243,IF($B$15&lt;10.35673,C243,IF($B$15&lt;10.41894,D243,IF($B$15&lt;20.2,E243))))</f>
        <v>59.727373437742699</v>
      </c>
      <c r="S243" s="6">
        <f t="shared" si="2"/>
        <v>0</v>
      </c>
      <c r="T243" s="6" t="e">
        <f t="shared" si="3"/>
        <v>#DIV/0!</v>
      </c>
      <c r="U243" s="6" t="e">
        <f t="shared" si="24"/>
        <v>#DIV/0!</v>
      </c>
      <c r="V243" s="49" t="s">
        <v>188</v>
      </c>
      <c r="W243" s="3"/>
      <c r="X243">
        <v>0.85</v>
      </c>
      <c r="Y243" s="3" t="e">
        <f t="shared" si="25"/>
        <v>#DIV/0!</v>
      </c>
      <c r="Z243" s="36" t="e">
        <f t="shared" si="16"/>
        <v>#DIV/0!</v>
      </c>
      <c r="AA243" s="3" t="e">
        <f t="shared" si="5"/>
        <v>#DIV/0!</v>
      </c>
      <c r="AB243" s="36" t="e">
        <f t="shared" si="8"/>
        <v>#DIV/0!</v>
      </c>
      <c r="AC243" s="3" t="e">
        <f t="shared" si="9"/>
        <v>#DIV/0!</v>
      </c>
      <c r="AD243" s="36" t="e">
        <f t="shared" si="10"/>
        <v>#DIV/0!</v>
      </c>
      <c r="AE243" s="36" t="e">
        <f t="shared" si="11"/>
        <v>#DIV/0!</v>
      </c>
      <c r="AF243" s="36" t="e">
        <f t="shared" si="6"/>
        <v>#DIV/0!</v>
      </c>
      <c r="AG243" s="3" t="e">
        <f t="shared" si="7"/>
        <v>#DIV/0!</v>
      </c>
      <c r="AH243" s="36" t="e">
        <f t="shared" si="12"/>
        <v>#DIV/0!</v>
      </c>
      <c r="AI243" s="36" t="e">
        <f t="shared" si="17"/>
        <v>#DIV/0!</v>
      </c>
      <c r="AJ243" s="3" t="e">
        <f t="shared" si="13"/>
        <v>#DIV/0!</v>
      </c>
      <c r="AK243" s="36" t="e">
        <f t="shared" si="14"/>
        <v>#DIV/0!</v>
      </c>
      <c r="AL243" s="36" t="e">
        <f t="shared" si="15"/>
        <v>#DIV/0!</v>
      </c>
      <c r="AM243" s="36" t="e">
        <f t="shared" si="18"/>
        <v>#DIV/0!</v>
      </c>
      <c r="AP243" s="32">
        <v>31</v>
      </c>
      <c r="AQ243" s="1" t="s">
        <v>4</v>
      </c>
      <c r="AR243"/>
      <c r="AS243" s="5">
        <v>32614.407589999999</v>
      </c>
      <c r="AT243" s="5">
        <v>-38542.542150000001</v>
      </c>
      <c r="AU243" s="5">
        <v>19581.796279999999</v>
      </c>
      <c r="AV243" s="5">
        <v>-5166.9150600000003</v>
      </c>
      <c r="AW243" s="5">
        <v>695.51567</v>
      </c>
      <c r="AX243" s="5">
        <v>-37.819740000000003</v>
      </c>
      <c r="AY243" s="5"/>
      <c r="AZ243" s="5"/>
      <c r="BA243" s="5"/>
      <c r="BB243" s="5"/>
      <c r="BC243" s="5"/>
      <c r="BD243" s="5">
        <v>3976.6359400000001</v>
      </c>
      <c r="BE243" s="5">
        <v>-2058.9103599999999</v>
      </c>
      <c r="BF243" s="5">
        <v>453.37630000000001</v>
      </c>
      <c r="BG243" s="5">
        <v>-51.579450000000001</v>
      </c>
      <c r="BH243" s="5">
        <v>2.9884599999999999</v>
      </c>
      <c r="BI243" s="5">
        <v>-6.9970000000000004E-2</v>
      </c>
      <c r="BJ243" s="5"/>
      <c r="BK243" s="5"/>
      <c r="BL243" s="5"/>
      <c r="BM243" s="5"/>
      <c r="BN243" s="5" t="s">
        <v>128</v>
      </c>
      <c r="BO243">
        <v>-32361.01253</v>
      </c>
      <c r="BP243">
        <v>3127.50362</v>
      </c>
      <c r="BZ243">
        <v>8079.6442399999996</v>
      </c>
      <c r="CA243">
        <v>-2365.71857</v>
      </c>
      <c r="CB243">
        <v>287.02244000000002</v>
      </c>
      <c r="CC243">
        <v>-17.640640000000001</v>
      </c>
      <c r="CD243">
        <v>0.54390000000000005</v>
      </c>
      <c r="CE243">
        <v>-6.7000000000000002E-3</v>
      </c>
    </row>
    <row r="244" spans="2:232" ht="15.95" customHeight="1">
      <c r="B244" s="6">
        <f t="shared" si="23"/>
        <v>-72137.598527001683</v>
      </c>
      <c r="C244" s="6">
        <f t="shared" si="32"/>
        <v>65.545061809302297</v>
      </c>
      <c r="D244" s="6">
        <f t="shared" si="33"/>
        <v>-7908.8770457600003</v>
      </c>
      <c r="E244" s="6">
        <f t="shared" si="22"/>
        <v>581.30591776863889</v>
      </c>
      <c r="F244" s="3"/>
      <c r="G244"/>
      <c r="H244" s="5"/>
      <c r="N244" s="2">
        <v>32</v>
      </c>
      <c r="O244" s="2" t="s">
        <v>5</v>
      </c>
      <c r="P244" s="4">
        <v>72.63</v>
      </c>
      <c r="Q244" s="26">
        <f>O34</f>
        <v>0</v>
      </c>
      <c r="R244" s="6">
        <f>IF($B$15&lt;4.52946,B244,IF($B$15&lt;11.092,C244,IF($B$15&lt;11.15862,D244,IF($B$15&lt;20.2,E244))))</f>
        <v>65.545061809302297</v>
      </c>
      <c r="S244" s="6">
        <f t="shared" si="2"/>
        <v>0</v>
      </c>
      <c r="T244" s="6" t="e">
        <f t="shared" si="3"/>
        <v>#DIV/0!</v>
      </c>
      <c r="U244" s="6" t="e">
        <f t="shared" si="24"/>
        <v>#DIV/0!</v>
      </c>
      <c r="V244" s="49" t="s">
        <v>188</v>
      </c>
      <c r="W244" s="3"/>
      <c r="X244">
        <v>0.84499999999999997</v>
      </c>
      <c r="Y244" s="3" t="e">
        <f t="shared" si="25"/>
        <v>#DIV/0!</v>
      </c>
      <c r="Z244" s="36" t="e">
        <f t="shared" si="16"/>
        <v>#DIV/0!</v>
      </c>
      <c r="AA244" s="3" t="e">
        <f t="shared" si="5"/>
        <v>#DIV/0!</v>
      </c>
      <c r="AB244" s="36" t="e">
        <f t="shared" si="8"/>
        <v>#DIV/0!</v>
      </c>
      <c r="AC244" s="3" t="e">
        <f t="shared" si="9"/>
        <v>#DIV/0!</v>
      </c>
      <c r="AD244" s="36" t="e">
        <f t="shared" si="10"/>
        <v>#DIV/0!</v>
      </c>
      <c r="AE244" s="36" t="e">
        <f t="shared" si="11"/>
        <v>#DIV/0!</v>
      </c>
      <c r="AF244" s="36" t="e">
        <f t="shared" si="6"/>
        <v>#DIV/0!</v>
      </c>
      <c r="AG244" s="3" t="e">
        <f t="shared" si="7"/>
        <v>#DIV/0!</v>
      </c>
      <c r="AH244" s="36" t="e">
        <f t="shared" si="12"/>
        <v>#DIV/0!</v>
      </c>
      <c r="AI244" s="36" t="e">
        <f t="shared" si="17"/>
        <v>#DIV/0!</v>
      </c>
      <c r="AJ244" s="3" t="e">
        <f t="shared" si="13"/>
        <v>#DIV/0!</v>
      </c>
      <c r="AK244" s="36" t="e">
        <f t="shared" si="14"/>
        <v>#DIV/0!</v>
      </c>
      <c r="AL244" s="36" t="e">
        <f t="shared" si="15"/>
        <v>#DIV/0!</v>
      </c>
      <c r="AM244" s="36" t="e">
        <f t="shared" si="18"/>
        <v>#DIV/0!</v>
      </c>
      <c r="AP244" s="32">
        <v>32</v>
      </c>
      <c r="AQ244" s="1" t="s">
        <v>5</v>
      </c>
      <c r="AR244"/>
      <c r="AS244" s="5">
        <v>35387.143880000003</v>
      </c>
      <c r="AT244" s="5">
        <v>-42141.406309999998</v>
      </c>
      <c r="AU244" s="5">
        <v>21611.304319999999</v>
      </c>
      <c r="AV244" s="5">
        <v>-5758.4153699999997</v>
      </c>
      <c r="AW244" s="5">
        <v>782.47928000000002</v>
      </c>
      <c r="AX244" s="5">
        <v>-42.919739999999997</v>
      </c>
      <c r="AY244" s="5"/>
      <c r="AZ244" s="5"/>
      <c r="BA244" s="5"/>
      <c r="BB244" s="5"/>
      <c r="BC244" s="5"/>
      <c r="BD244" s="5">
        <v>4029.2421899999999</v>
      </c>
      <c r="BE244" s="5">
        <v>-2034.9591700000001</v>
      </c>
      <c r="BF244" s="5">
        <v>436.60395</v>
      </c>
      <c r="BG244" s="5">
        <v>-48.270130000000002</v>
      </c>
      <c r="BH244" s="5">
        <v>2.7082099999999998</v>
      </c>
      <c r="BI244" s="5">
        <v>-6.1159999999999999E-2</v>
      </c>
      <c r="BJ244" s="5"/>
      <c r="BK244" s="5"/>
      <c r="BL244" s="5"/>
      <c r="BM244" s="5"/>
      <c r="BN244" s="5" t="s">
        <v>128</v>
      </c>
      <c r="BO244">
        <v>-28889.7304</v>
      </c>
      <c r="BP244">
        <v>2606.96488</v>
      </c>
      <c r="BZ244">
        <v>9931.2365900000004</v>
      </c>
      <c r="CA244">
        <v>-2885.9538299999999</v>
      </c>
      <c r="CB244">
        <v>345.0582</v>
      </c>
      <c r="CC244">
        <v>-20.834810000000001</v>
      </c>
      <c r="CD244">
        <v>0.63038000000000005</v>
      </c>
      <c r="CE244">
        <v>-7.62E-3</v>
      </c>
    </row>
    <row r="245" spans="2:232" ht="15.95" customHeight="1">
      <c r="B245" s="6">
        <f t="shared" si="23"/>
        <v>-36241.241262546857</v>
      </c>
      <c r="C245" s="6">
        <f t="shared" si="32"/>
        <v>72.288942340670246</v>
      </c>
      <c r="D245" s="6">
        <f t="shared" si="33"/>
        <v>-8343.7998163999982</v>
      </c>
      <c r="E245" s="6">
        <f t="shared" si="22"/>
        <v>701.25444698414663</v>
      </c>
      <c r="F245" s="3"/>
      <c r="G245"/>
      <c r="H245" s="5"/>
      <c r="N245" s="2">
        <v>33</v>
      </c>
      <c r="O245" s="2" t="s">
        <v>37</v>
      </c>
      <c r="P245" s="4">
        <v>74.921599999999998</v>
      </c>
      <c r="Q245" s="26">
        <f>P34</f>
        <v>0</v>
      </c>
      <c r="R245" s="6">
        <f>IF($B$15&lt;5.054752,B245,IF($B$15&lt;11.85483,C245,IF($B$15&lt;11.92603,D245,IF($B$15&lt;20.2,E245))))</f>
        <v>72.288942340670246</v>
      </c>
      <c r="S245" s="6">
        <f t="shared" si="2"/>
        <v>0</v>
      </c>
      <c r="T245" s="6" t="e">
        <f t="shared" si="3"/>
        <v>#DIV/0!</v>
      </c>
      <c r="U245" s="6" t="e">
        <f>T245/100*R245</f>
        <v>#DIV/0!</v>
      </c>
      <c r="V245" s="49" t="s">
        <v>188</v>
      </c>
      <c r="W245" s="3"/>
      <c r="X245">
        <v>0.84</v>
      </c>
      <c r="Y245" s="3" t="e">
        <f t="shared" si="25"/>
        <v>#DIV/0!</v>
      </c>
      <c r="Z245" s="36" t="e">
        <f t="shared" si="16"/>
        <v>#DIV/0!</v>
      </c>
      <c r="AA245" s="3" t="e">
        <f t="shared" ref="AA245:AA276" si="36">Z245/SIN((0.5*$H$15*PI()/180))</f>
        <v>#DIV/0!</v>
      </c>
      <c r="AB245" s="36" t="e">
        <f t="shared" si="8"/>
        <v>#DIV/0!</v>
      </c>
      <c r="AC245" s="3" t="e">
        <f t="shared" si="9"/>
        <v>#DIV/0!</v>
      </c>
      <c r="AD245" s="36" t="e">
        <f t="shared" si="10"/>
        <v>#DIV/0!</v>
      </c>
      <c r="AE245" s="36" t="e">
        <f t="shared" si="11"/>
        <v>#DIV/0!</v>
      </c>
      <c r="AF245" s="36" t="e">
        <f t="shared" ref="AF245:AF276" si="37">Y245*SIN($H$15/2*PI()/180)</f>
        <v>#DIV/0!</v>
      </c>
      <c r="AG245" s="3" t="e">
        <f t="shared" ref="AG245:AG276" si="38">AF245/SIN((0.5*$H$15*PI()/180))</f>
        <v>#DIV/0!</v>
      </c>
      <c r="AH245" s="36" t="e">
        <f t="shared" si="12"/>
        <v>#DIV/0!</v>
      </c>
      <c r="AI245" s="36" t="e">
        <f t="shared" si="17"/>
        <v>#DIV/0!</v>
      </c>
      <c r="AJ245" s="3" t="e">
        <f t="shared" si="13"/>
        <v>#DIV/0!</v>
      </c>
      <c r="AK245" s="36" t="e">
        <f t="shared" si="14"/>
        <v>#DIV/0!</v>
      </c>
      <c r="AL245" s="36" t="e">
        <f t="shared" si="15"/>
        <v>#DIV/0!</v>
      </c>
      <c r="AM245" s="36" t="e">
        <f t="shared" si="18"/>
        <v>#DIV/0!</v>
      </c>
      <c r="AP245" s="32">
        <v>33</v>
      </c>
      <c r="AQ245" s="1" t="s">
        <v>37</v>
      </c>
      <c r="AR245"/>
      <c r="AS245" s="5">
        <v>34226.197319999999</v>
      </c>
      <c r="AT245" s="5">
        <v>-38629.933210000003</v>
      </c>
      <c r="AU245" s="5">
        <v>18689.346699999998</v>
      </c>
      <c r="AV245" s="5">
        <v>-4677.6649900000002</v>
      </c>
      <c r="AW245" s="5">
        <v>594.64147000000003</v>
      </c>
      <c r="AX245" s="5">
        <v>-30.39995</v>
      </c>
      <c r="AY245" s="5"/>
      <c r="AZ245" s="5"/>
      <c r="BA245" s="5"/>
      <c r="BB245" s="5"/>
      <c r="BC245" s="5"/>
      <c r="BD245" s="5">
        <v>3392.8160499999999</v>
      </c>
      <c r="BE245" s="5">
        <v>-1560.3334400000001</v>
      </c>
      <c r="BF245" s="5">
        <v>305.30110999999999</v>
      </c>
      <c r="BG245" s="5">
        <v>-30.81456</v>
      </c>
      <c r="BH245" s="5">
        <v>1.57951</v>
      </c>
      <c r="BI245" s="5">
        <v>-3.261E-2</v>
      </c>
      <c r="BJ245" s="5"/>
      <c r="BK245" s="5"/>
      <c r="BL245" s="5"/>
      <c r="BM245" s="5"/>
      <c r="BN245" s="5" t="s">
        <v>128</v>
      </c>
      <c r="BO245">
        <v>-26034.818449999999</v>
      </c>
      <c r="BP245">
        <v>2198.1882000000001</v>
      </c>
      <c r="BZ245">
        <v>11777.1909</v>
      </c>
      <c r="CA245">
        <v>-3359.4670099999998</v>
      </c>
      <c r="CB245">
        <v>392.53899000000001</v>
      </c>
      <c r="CC245">
        <v>-23.128139999999998</v>
      </c>
      <c r="CD245">
        <v>0.68276999999999999</v>
      </c>
      <c r="CE245">
        <v>-8.0599999999999995E-3</v>
      </c>
    </row>
    <row r="246" spans="2:232" ht="15.95" customHeight="1">
      <c r="B246" s="6">
        <f t="shared" si="23"/>
        <v>-40881.352327982429</v>
      </c>
      <c r="C246" s="6">
        <f t="shared" si="32"/>
        <v>77.936202778739926</v>
      </c>
      <c r="D246" s="6">
        <f t="shared" si="33"/>
        <v>-8348.2247941599981</v>
      </c>
      <c r="E246" s="6">
        <f t="shared" si="22"/>
        <v>805.0082646104305</v>
      </c>
      <c r="F246" s="3"/>
      <c r="G246"/>
      <c r="H246" s="5"/>
      <c r="N246" s="2">
        <v>34</v>
      </c>
      <c r="O246" s="2" t="s">
        <v>8</v>
      </c>
      <c r="P246" s="4">
        <v>78.971000000000004</v>
      </c>
      <c r="Q246" s="26">
        <f>Q34</f>
        <v>0</v>
      </c>
      <c r="R246" s="6">
        <f>IF($B$15&lt;5.0296,B246,IF($B$15&lt;12.64514,C246,IF($B$15&lt;12.72109,D246,IF($B$15&lt;20.2,E246))))</f>
        <v>77.936202778739926</v>
      </c>
      <c r="S246" s="6">
        <f t="shared" si="2"/>
        <v>0</v>
      </c>
      <c r="T246" s="6" t="e">
        <f t="shared" si="3"/>
        <v>#DIV/0!</v>
      </c>
      <c r="U246" s="6" t="e">
        <f t="shared" si="24"/>
        <v>#DIV/0!</v>
      </c>
      <c r="V246" s="49" t="s">
        <v>188</v>
      </c>
      <c r="W246" s="3"/>
      <c r="X246">
        <v>0.83499999999999996</v>
      </c>
      <c r="Y246" s="3" t="e">
        <f t="shared" si="25"/>
        <v>#DIV/0!</v>
      </c>
      <c r="Z246" s="36" t="e">
        <f t="shared" si="16"/>
        <v>#DIV/0!</v>
      </c>
      <c r="AA246" s="3" t="e">
        <f t="shared" si="36"/>
        <v>#DIV/0!</v>
      </c>
      <c r="AB246" s="36" t="e">
        <f t="shared" si="8"/>
        <v>#DIV/0!</v>
      </c>
      <c r="AC246" s="3" t="e">
        <f t="shared" si="9"/>
        <v>#DIV/0!</v>
      </c>
      <c r="AD246" s="36" t="e">
        <f t="shared" si="10"/>
        <v>#DIV/0!</v>
      </c>
      <c r="AE246" s="36" t="e">
        <f t="shared" ref="AE246:AE277" si="39">Z246*(-1)</f>
        <v>#DIV/0!</v>
      </c>
      <c r="AF246" s="36" t="e">
        <f t="shared" si="37"/>
        <v>#DIV/0!</v>
      </c>
      <c r="AG246" s="3" t="e">
        <f t="shared" si="38"/>
        <v>#DIV/0!</v>
      </c>
      <c r="AH246" s="36" t="e">
        <f t="shared" si="12"/>
        <v>#DIV/0!</v>
      </c>
      <c r="AI246" s="36" t="e">
        <f t="shared" si="17"/>
        <v>#DIV/0!</v>
      </c>
      <c r="AJ246" s="3" t="e">
        <f t="shared" si="13"/>
        <v>#DIV/0!</v>
      </c>
      <c r="AK246" s="36" t="e">
        <f t="shared" si="14"/>
        <v>#DIV/0!</v>
      </c>
      <c r="AL246" s="36" t="e">
        <f t="shared" ref="AL246:AL277" si="40">AF246*(-1)</f>
        <v>#DIV/0!</v>
      </c>
      <c r="AM246" s="36" t="e">
        <f t="shared" si="18"/>
        <v>#DIV/0!</v>
      </c>
      <c r="AP246" s="32">
        <v>34</v>
      </c>
      <c r="AQ246" s="1" t="s">
        <v>8</v>
      </c>
      <c r="AR246"/>
      <c r="AS246" s="5">
        <v>37041.564359999997</v>
      </c>
      <c r="AT246" s="5">
        <v>-42153.056400000001</v>
      </c>
      <c r="AU246" s="5">
        <v>20539.92553</v>
      </c>
      <c r="AV246" s="5">
        <v>-5170.6072800000002</v>
      </c>
      <c r="AW246" s="5">
        <v>660.31071999999995</v>
      </c>
      <c r="AX246" s="5">
        <v>-33.88017</v>
      </c>
      <c r="AY246" s="5"/>
      <c r="AZ246" s="5"/>
      <c r="BA246" s="5"/>
      <c r="BB246" s="5"/>
      <c r="BC246" s="5"/>
      <c r="BD246" s="5">
        <v>3686.97109</v>
      </c>
      <c r="BE246" s="5">
        <v>-1704.5809200000001</v>
      </c>
      <c r="BF246" s="5">
        <v>334.13977</v>
      </c>
      <c r="BG246" s="5">
        <v>-33.631410000000002</v>
      </c>
      <c r="BH246" s="5">
        <v>1.71025</v>
      </c>
      <c r="BI246" s="5">
        <v>-3.4849999999999999E-2</v>
      </c>
      <c r="BN246" s="5" t="s">
        <v>128</v>
      </c>
      <c r="BO246">
        <v>-23001.200929999999</v>
      </c>
      <c r="BP246">
        <v>1820.6978300000001</v>
      </c>
      <c r="BZ246">
        <v>12333.142809999999</v>
      </c>
      <c r="CA246">
        <v>-3401.1391899999999</v>
      </c>
      <c r="CB246">
        <v>383.61631999999997</v>
      </c>
      <c r="CC246">
        <v>-21.818760000000001</v>
      </c>
      <c r="CD246">
        <v>0.62226000000000004</v>
      </c>
      <c r="CE246">
        <v>-7.1000000000000004E-3</v>
      </c>
    </row>
    <row r="247" spans="2:232" ht="15.95" customHeight="1">
      <c r="B247" s="6">
        <f t="shared" si="23"/>
        <v>-40234.347621798515</v>
      </c>
      <c r="C247" s="6">
        <f t="shared" si="32"/>
        <v>86.617610580823111</v>
      </c>
      <c r="D247" s="6">
        <f t="shared" si="33"/>
        <v>-41890.799097679999</v>
      </c>
      <c r="E247" s="6">
        <f t="shared" si="22"/>
        <v>861.55568811375531</v>
      </c>
      <c r="F247" s="3"/>
      <c r="G247"/>
      <c r="H247" s="5"/>
      <c r="N247" s="2">
        <v>35</v>
      </c>
      <c r="O247" s="2" t="s">
        <v>38</v>
      </c>
      <c r="P247" s="4">
        <v>79.903999999999996</v>
      </c>
      <c r="Q247" s="26">
        <f>R34</f>
        <v>0</v>
      </c>
      <c r="R247" s="6">
        <f>IF($B$15&lt;5.054752,B247,IF($B$15&lt;13.46023,C247,IF($B$15&lt;13.47697,D247,IF($B$15&lt;20.2,E247))))</f>
        <v>86.617610580823111</v>
      </c>
      <c r="S247" s="6">
        <f t="shared" si="2"/>
        <v>0</v>
      </c>
      <c r="T247" s="6" t="e">
        <f t="shared" si="3"/>
        <v>#DIV/0!</v>
      </c>
      <c r="U247" s="6" t="e">
        <f t="shared" ref="U247:U253" si="41">T247/100*R247</f>
        <v>#DIV/0!</v>
      </c>
      <c r="V247" s="49" t="s">
        <v>188</v>
      </c>
      <c r="W247" s="3"/>
      <c r="X247">
        <v>0.83</v>
      </c>
      <c r="Y247" s="3" t="e">
        <f t="shared" si="25"/>
        <v>#DIV/0!</v>
      </c>
      <c r="Z247" s="36" t="e">
        <f t="shared" si="16"/>
        <v>#DIV/0!</v>
      </c>
      <c r="AA247" s="3" t="e">
        <f t="shared" si="36"/>
        <v>#DIV/0!</v>
      </c>
      <c r="AB247" s="36" t="e">
        <f t="shared" si="8"/>
        <v>#DIV/0!</v>
      </c>
      <c r="AC247" s="3" t="e">
        <f t="shared" si="9"/>
        <v>#DIV/0!</v>
      </c>
      <c r="AD247" s="36" t="e">
        <f t="shared" si="10"/>
        <v>#DIV/0!</v>
      </c>
      <c r="AE247" s="36" t="e">
        <f t="shared" si="39"/>
        <v>#DIV/0!</v>
      </c>
      <c r="AF247" s="36" t="e">
        <f t="shared" si="37"/>
        <v>#DIV/0!</v>
      </c>
      <c r="AG247" s="3" t="e">
        <f t="shared" si="38"/>
        <v>#DIV/0!</v>
      </c>
      <c r="AH247" s="36" t="e">
        <f t="shared" si="12"/>
        <v>#DIV/0!</v>
      </c>
      <c r="AI247" s="36" t="e">
        <f t="shared" si="17"/>
        <v>#DIV/0!</v>
      </c>
      <c r="AJ247" s="3" t="e">
        <f t="shared" si="13"/>
        <v>#DIV/0!</v>
      </c>
      <c r="AK247" s="36" t="e">
        <f t="shared" si="14"/>
        <v>#DIV/0!</v>
      </c>
      <c r="AL247" s="36" t="e">
        <f t="shared" si="40"/>
        <v>#DIV/0!</v>
      </c>
      <c r="AM247" s="36" t="e">
        <f t="shared" si="18"/>
        <v>#DIV/0!</v>
      </c>
      <c r="AP247" s="32">
        <v>35</v>
      </c>
      <c r="AQ247" s="1" t="s">
        <v>38</v>
      </c>
      <c r="AR247"/>
      <c r="AS247" s="5">
        <v>39851.204100000003</v>
      </c>
      <c r="AT247" s="5">
        <v>-44985.513160000002</v>
      </c>
      <c r="AU247" s="5">
        <v>21738.417270000002</v>
      </c>
      <c r="AV247" s="5">
        <v>-5424.63634</v>
      </c>
      <c r="AW247" s="5">
        <v>686.48371999999995</v>
      </c>
      <c r="AX247" s="5">
        <v>-34.898339999999997</v>
      </c>
      <c r="AY247" s="5"/>
      <c r="AZ247" s="5"/>
      <c r="BA247" s="5"/>
      <c r="BB247" s="5"/>
      <c r="BC247" s="5"/>
      <c r="BD247" s="5">
        <v>3889.77979</v>
      </c>
      <c r="BE247" s="5">
        <v>-1753.9888000000001</v>
      </c>
      <c r="BF247" s="5">
        <v>333.87768999999997</v>
      </c>
      <c r="BG247" s="5">
        <v>-32.495130000000003</v>
      </c>
      <c r="BH247" s="5">
        <v>1.5917600000000001</v>
      </c>
      <c r="BI247" s="5">
        <v>-3.1140000000000001E-2</v>
      </c>
      <c r="BN247" s="5" t="s">
        <v>128</v>
      </c>
      <c r="BO247">
        <v>-104212.79961</v>
      </c>
      <c r="BP247">
        <v>7743.7873399999999</v>
      </c>
      <c r="BZ247">
        <v>10582.240959999999</v>
      </c>
      <c r="CA247">
        <v>-2725.6822400000001</v>
      </c>
      <c r="CB247">
        <v>287.76745</v>
      </c>
      <c r="CC247">
        <v>-15.33989</v>
      </c>
      <c r="CD247">
        <v>0.41038000000000002</v>
      </c>
      <c r="CE247">
        <v>-4.4000000000000003E-3</v>
      </c>
    </row>
    <row r="248" spans="2:232" ht="15.95" customHeight="1">
      <c r="B248" s="6">
        <f t="shared" si="23"/>
        <v>-36855.873038274003</v>
      </c>
      <c r="C248" s="6">
        <f t="shared" si="32"/>
        <v>92.152039169845011</v>
      </c>
      <c r="D248" s="6">
        <f t="shared" si="33"/>
        <v>-7401.0954622400004</v>
      </c>
      <c r="E248" s="6">
        <f t="shared" si="22"/>
        <v>732.9086884677647</v>
      </c>
      <c r="F248" s="3"/>
      <c r="G248"/>
      <c r="H248" s="5"/>
      <c r="N248" s="2">
        <v>36</v>
      </c>
      <c r="O248" s="2" t="s">
        <v>55</v>
      </c>
      <c r="P248" s="4">
        <v>83.8</v>
      </c>
      <c r="Q248" s="26">
        <f>S34</f>
        <v>0</v>
      </c>
      <c r="R248" s="6">
        <f>IF($B$15&lt;5.105426,B248,IF($B$15&lt;14.31127,C248,IF($B$15&lt;14.40688,D248,IF($B$15&lt;20.2,E248))))</f>
        <v>92.152039169845011</v>
      </c>
      <c r="S248" s="6">
        <f t="shared" si="2"/>
        <v>0</v>
      </c>
      <c r="T248" s="6" t="e">
        <f t="shared" si="3"/>
        <v>#DIV/0!</v>
      </c>
      <c r="U248" s="6" t="e">
        <f t="shared" si="41"/>
        <v>#DIV/0!</v>
      </c>
      <c r="V248" s="49" t="s">
        <v>188</v>
      </c>
      <c r="W248" s="3"/>
      <c r="X248">
        <v>0.82499999999999996</v>
      </c>
      <c r="Y248" s="3" t="e">
        <f t="shared" si="25"/>
        <v>#DIV/0!</v>
      </c>
      <c r="Z248" s="36" t="e">
        <f t="shared" si="16"/>
        <v>#DIV/0!</v>
      </c>
      <c r="AA248" s="3" t="e">
        <f t="shared" si="36"/>
        <v>#DIV/0!</v>
      </c>
      <c r="AB248" s="36" t="e">
        <f t="shared" si="8"/>
        <v>#DIV/0!</v>
      </c>
      <c r="AC248" s="3" t="e">
        <f t="shared" si="9"/>
        <v>#DIV/0!</v>
      </c>
      <c r="AD248" s="36" t="e">
        <f t="shared" si="10"/>
        <v>#DIV/0!</v>
      </c>
      <c r="AE248" s="36" t="e">
        <f t="shared" si="39"/>
        <v>#DIV/0!</v>
      </c>
      <c r="AF248" s="36" t="e">
        <f t="shared" si="37"/>
        <v>#DIV/0!</v>
      </c>
      <c r="AG248" s="3" t="e">
        <f t="shared" si="38"/>
        <v>#DIV/0!</v>
      </c>
      <c r="AH248" s="36" t="e">
        <f t="shared" si="12"/>
        <v>#DIV/0!</v>
      </c>
      <c r="AI248" s="36" t="e">
        <f t="shared" si="17"/>
        <v>#DIV/0!</v>
      </c>
      <c r="AJ248" s="3" t="e">
        <f t="shared" si="13"/>
        <v>#DIV/0!</v>
      </c>
      <c r="AK248" s="36" t="e">
        <f t="shared" si="14"/>
        <v>#DIV/0!</v>
      </c>
      <c r="AL248" s="36" t="e">
        <f t="shared" si="40"/>
        <v>#DIV/0!</v>
      </c>
      <c r="AM248" s="36" t="e">
        <f t="shared" si="18"/>
        <v>#DIV/0!</v>
      </c>
      <c r="AP248" s="32">
        <v>36</v>
      </c>
      <c r="AQ248" s="1" t="s">
        <v>55</v>
      </c>
      <c r="AR248"/>
      <c r="AS248" s="5">
        <v>41184.279990000003</v>
      </c>
      <c r="AT248" s="5">
        <v>-45978.67338</v>
      </c>
      <c r="AU248" s="5">
        <v>21962.797600000002</v>
      </c>
      <c r="AV248" s="5">
        <v>-5414.9531299999999</v>
      </c>
      <c r="AW248" s="5">
        <v>676.85630000000003</v>
      </c>
      <c r="AX248" s="5">
        <v>-33.984720000000003</v>
      </c>
      <c r="AY248" s="5"/>
      <c r="AZ248" s="5"/>
      <c r="BA248" s="5"/>
      <c r="BB248" s="5"/>
      <c r="BC248" s="5"/>
      <c r="BD248" s="5">
        <v>3848.9478899999999</v>
      </c>
      <c r="BE248" s="5">
        <v>-1673.83449</v>
      </c>
      <c r="BF248" s="5">
        <v>306.09379000000001</v>
      </c>
      <c r="BG248" s="5">
        <v>-28.526219999999999</v>
      </c>
      <c r="BH248" s="5">
        <v>1.33439</v>
      </c>
      <c r="BI248" s="5">
        <v>-2.487E-2</v>
      </c>
      <c r="BN248" s="5" t="s">
        <v>128</v>
      </c>
      <c r="BO248">
        <v>-16934.789420000001</v>
      </c>
      <c r="BP248">
        <v>1184.60412</v>
      </c>
      <c r="BZ248">
        <v>5068.1757100000004</v>
      </c>
      <c r="CA248">
        <v>-1011.53597</v>
      </c>
      <c r="CB248">
        <v>78.620570000000001</v>
      </c>
      <c r="CC248">
        <v>-2.7643200000000001</v>
      </c>
      <c r="CD248">
        <v>3.6769999999999997E-2</v>
      </c>
    </row>
    <row r="249" spans="2:232" ht="15.95" customHeight="1">
      <c r="B249" s="6">
        <f>AS249+AT249*$B$15</f>
        <v>-23549.347598079999</v>
      </c>
      <c r="C249" s="6">
        <f t="shared" ref="C249:C254" si="42">BD249+BE249*$B$15</f>
        <v>199682.15002727997</v>
      </c>
      <c r="D249" s="6">
        <f>BO249+BP249*$B$15+BQ249*$B$15^2+BR249*$B$15^3+BS249*$B$15^4+BT249*$B$15^5+BU249*$B$15^6+BV249*$B$15^7+BW249*$B$15^8+BX249*$B$15^9</f>
        <v>-10489.721969882841</v>
      </c>
      <c r="E249" s="6">
        <f t="shared" si="22"/>
        <v>99.646796497233538</v>
      </c>
      <c r="F249" s="6">
        <f>CK249+CL249*$B$15</f>
        <v>-8135.1284545599974</v>
      </c>
      <c r="G249" s="6">
        <f>CV249+CW249*$B$15+CX249*$B$15^2+CY249*$B$15^3+CZ249*$B$15^4+DA249*$B$15^5+DB249*$B$15^6+DC249*$B$15^7+DD249*$B$15^8+DE249*$B$15^9</f>
        <v>412.64342597316744</v>
      </c>
      <c r="H249" s="5"/>
      <c r="N249" s="2">
        <v>37</v>
      </c>
      <c r="O249" s="2" t="s">
        <v>56</v>
      </c>
      <c r="P249" s="4">
        <v>85.467799999999997</v>
      </c>
      <c r="Q249" s="26">
        <f>B36</f>
        <v>0</v>
      </c>
      <c r="R249" s="6">
        <f>IF($B$15&lt;2.063035,B249,IF($B$15&lt;2.075425,C249,IF($B$15&lt;5.660855,D249,IF($B$15&lt;15.1845,E249,IF($B$15&lt;15.2757,F249,IF($B$15&lt;20.2,G249))))))</f>
        <v>99.646796497233538</v>
      </c>
      <c r="S249" s="6">
        <f t="shared" si="2"/>
        <v>0</v>
      </c>
      <c r="T249" s="6" t="e">
        <f t="shared" si="3"/>
        <v>#DIV/0!</v>
      </c>
      <c r="U249" s="6" t="e">
        <f t="shared" si="41"/>
        <v>#DIV/0!</v>
      </c>
      <c r="V249" s="49" t="s">
        <v>188</v>
      </c>
      <c r="W249" s="3"/>
      <c r="X249">
        <v>0.82</v>
      </c>
      <c r="Y249" s="3" t="e">
        <f t="shared" si="25"/>
        <v>#DIV/0!</v>
      </c>
      <c r="Z249" s="36" t="e">
        <f t="shared" si="16"/>
        <v>#DIV/0!</v>
      </c>
      <c r="AA249" s="3" t="e">
        <f t="shared" si="36"/>
        <v>#DIV/0!</v>
      </c>
      <c r="AB249" s="36" t="e">
        <f t="shared" si="8"/>
        <v>#DIV/0!</v>
      </c>
      <c r="AC249" s="3" t="e">
        <f t="shared" si="9"/>
        <v>#DIV/0!</v>
      </c>
      <c r="AD249" s="36" t="e">
        <f t="shared" si="10"/>
        <v>#DIV/0!</v>
      </c>
      <c r="AE249" s="36" t="e">
        <f t="shared" si="39"/>
        <v>#DIV/0!</v>
      </c>
      <c r="AF249" s="36" t="e">
        <f t="shared" si="37"/>
        <v>#DIV/0!</v>
      </c>
      <c r="AG249" s="3" t="e">
        <f t="shared" si="38"/>
        <v>#DIV/0!</v>
      </c>
      <c r="AH249" s="36" t="e">
        <f t="shared" si="12"/>
        <v>#DIV/0!</v>
      </c>
      <c r="AI249" s="36" t="e">
        <f t="shared" si="17"/>
        <v>#DIV/0!</v>
      </c>
      <c r="AJ249" s="3" t="e">
        <f t="shared" si="13"/>
        <v>#DIV/0!</v>
      </c>
      <c r="AK249" s="36" t="e">
        <f t="shared" si="14"/>
        <v>#DIV/0!</v>
      </c>
      <c r="AL249" s="36" t="e">
        <f t="shared" si="40"/>
        <v>#DIV/0!</v>
      </c>
      <c r="AM249" s="36" t="e">
        <f t="shared" si="18"/>
        <v>#DIV/0!</v>
      </c>
      <c r="AP249" s="32">
        <v>37</v>
      </c>
      <c r="AQ249" s="1" t="s">
        <v>56</v>
      </c>
      <c r="AR249" s="5" t="s">
        <v>128</v>
      </c>
      <c r="AS249" s="5">
        <v>12188.07776</v>
      </c>
      <c r="AT249" s="5">
        <v>-4440.53496</v>
      </c>
      <c r="AV249" s="5"/>
      <c r="AW249" s="5"/>
      <c r="AX249" s="5"/>
      <c r="AY249" s="5"/>
      <c r="AZ249" s="5"/>
      <c r="BA249" s="5"/>
      <c r="BB249" s="5"/>
      <c r="BC249" s="5" t="s">
        <v>128</v>
      </c>
      <c r="BD249" s="5">
        <v>-64752.135710000002</v>
      </c>
      <c r="BE249" s="5">
        <v>32857.14286</v>
      </c>
      <c r="BF249" s="5"/>
      <c r="BG249" s="5"/>
      <c r="BH249" s="5"/>
      <c r="BO249">
        <v>35074.074090000002</v>
      </c>
      <c r="BP249">
        <v>-35476.094060000003</v>
      </c>
      <c r="BQ249">
        <v>15342.58878</v>
      </c>
      <c r="BR249">
        <v>-3423.4033599999998</v>
      </c>
      <c r="BS249">
        <v>387.06801999999999</v>
      </c>
      <c r="BT249">
        <v>-17.566579999999998</v>
      </c>
      <c r="BZ249">
        <v>3153.0375300000001</v>
      </c>
      <c r="CA249">
        <v>-1239.15957</v>
      </c>
      <c r="CB249">
        <v>205.77919</v>
      </c>
      <c r="CC249">
        <v>-17.501719999999999</v>
      </c>
      <c r="CD249">
        <v>0.75053999999999998</v>
      </c>
      <c r="CE249">
        <v>-1.2869999999999999E-2</v>
      </c>
      <c r="CJ249" s="5" t="s">
        <v>128</v>
      </c>
      <c r="CK249">
        <v>-17328.644799999998</v>
      </c>
      <c r="CL249">
        <v>1142.3355300000001</v>
      </c>
      <c r="CV249">
        <v>-4040.3638599999999</v>
      </c>
      <c r="CW249">
        <v>1670.9831099999999</v>
      </c>
      <c r="CX249">
        <v>-233.60981000000001</v>
      </c>
      <c r="CY249">
        <v>15.245200000000001</v>
      </c>
      <c r="CZ249">
        <v>-0.47892000000000001</v>
      </c>
      <c r="DA249">
        <v>5.8700000000000002E-3</v>
      </c>
    </row>
    <row r="250" spans="2:232" ht="15.95" customHeight="1">
      <c r="B250" s="6">
        <f>AS250+AT250*$B$15</f>
        <v>-19369.498245679999</v>
      </c>
      <c r="C250" s="6">
        <f t="shared" si="42"/>
        <v>494175.44781159994</v>
      </c>
      <c r="D250" s="6">
        <f>BO250+BP250*$B$15+BQ250*$B$15^2+BR250*$B$15^3+BS250*$B$15^4+BT250*$B$15^5+BU250*$B$15^6+BV250*$B$15^7+BW250*$B$15^8+BX250*$B$15^9</f>
        <v>-1133390115.6014128</v>
      </c>
      <c r="E250" s="6">
        <f>BZ250+CA250*$B$15</f>
        <v>219815.90854688</v>
      </c>
      <c r="F250" s="6">
        <f>CK250+CL250*$B$15+CM250*$B$15^2+CN250*$B$15^3+CO250*$B$15^4+CP250*$B$15^5+CQ250*$B$15^6+CR250*$B$15^7+CS250*$B$15^8+CT250*$B$15^9</f>
        <v>-30596.344963119831</v>
      </c>
      <c r="G250" s="6">
        <f>CV250+CW250*$B$15+CX250*$B$15^2+CY250*$B$15^3+CZ250*$B$15^4+DA250*$B$15^5+DB250*$B$15^6+DC250*$B$15^7+DD250*$B$15^8+DE250*$B$15^9</f>
        <v>108.66585686927249</v>
      </c>
      <c r="H250" s="6">
        <f>DG250+DH250*$B$15</f>
        <v>-7908.1761840000008</v>
      </c>
      <c r="I250" s="6">
        <f>DR250+DS250*$B$15+DT250*$B$15^2+DU250*$B$15^3+DV250*$B$15^4+DW250*$B$15^5+DX250*$B$15^6+DY250*$B$15^7+DZ250*$B$15^8+EA250*$B$15^9</f>
        <v>-967.04461634720872</v>
      </c>
      <c r="N250" s="2">
        <v>38</v>
      </c>
      <c r="O250" s="2" t="s">
        <v>57</v>
      </c>
      <c r="P250" s="4">
        <v>87.62</v>
      </c>
      <c r="Q250" s="26">
        <f>C36</f>
        <v>0</v>
      </c>
      <c r="R250" s="6">
        <f>IF($B$15&lt;2.004793,B250,IF($B$15&lt;2.016834,C250,IF($B$15&lt;2.214084,D250,IF($B$15&lt;2.224304,E250,IF($B$15&lt;4.953664,F250,IF($B$15&lt;16.0885,G250,IF($B$15&lt;16.18512,H250,IF($B$15&lt;20.2,I250))))))))</f>
        <v>108.66585686927249</v>
      </c>
      <c r="S250" s="6">
        <f t="shared" si="2"/>
        <v>0</v>
      </c>
      <c r="T250" s="6" t="e">
        <f t="shared" si="3"/>
        <v>#DIV/0!</v>
      </c>
      <c r="U250" s="6" t="e">
        <f t="shared" si="41"/>
        <v>#DIV/0!</v>
      </c>
      <c r="V250" s="49" t="s">
        <v>188</v>
      </c>
      <c r="W250" s="3"/>
      <c r="X250">
        <v>0.81499999999999995</v>
      </c>
      <c r="Y250" s="3" t="e">
        <f t="shared" si="25"/>
        <v>#DIV/0!</v>
      </c>
      <c r="Z250" s="36" t="e">
        <f t="shared" si="16"/>
        <v>#DIV/0!</v>
      </c>
      <c r="AA250" s="3" t="e">
        <f t="shared" si="36"/>
        <v>#DIV/0!</v>
      </c>
      <c r="AB250" s="36" t="e">
        <f t="shared" si="8"/>
        <v>#DIV/0!</v>
      </c>
      <c r="AC250" s="3" t="e">
        <f t="shared" si="9"/>
        <v>#DIV/0!</v>
      </c>
      <c r="AD250" s="36" t="e">
        <f t="shared" si="10"/>
        <v>#DIV/0!</v>
      </c>
      <c r="AE250" s="36" t="e">
        <f t="shared" si="39"/>
        <v>#DIV/0!</v>
      </c>
      <c r="AF250" s="36" t="e">
        <f t="shared" si="37"/>
        <v>#DIV/0!</v>
      </c>
      <c r="AG250" s="3" t="e">
        <f t="shared" si="38"/>
        <v>#DIV/0!</v>
      </c>
      <c r="AH250" s="36" t="e">
        <f t="shared" si="12"/>
        <v>#DIV/0!</v>
      </c>
      <c r="AI250" s="36" t="e">
        <f t="shared" si="17"/>
        <v>#DIV/0!</v>
      </c>
      <c r="AJ250" s="3" t="e">
        <f t="shared" si="13"/>
        <v>#DIV/0!</v>
      </c>
      <c r="AK250" s="36" t="e">
        <f t="shared" si="14"/>
        <v>#DIV/0!</v>
      </c>
      <c r="AL250" s="36" t="e">
        <f t="shared" si="40"/>
        <v>#DIV/0!</v>
      </c>
      <c r="AM250" s="36" t="e">
        <f t="shared" si="18"/>
        <v>#DIV/0!</v>
      </c>
      <c r="AP250" s="32">
        <v>38</v>
      </c>
      <c r="AQ250" s="1" t="s">
        <v>57</v>
      </c>
      <c r="AR250" s="5" t="s">
        <v>128</v>
      </c>
      <c r="AS250" s="5">
        <v>9858.7646700000005</v>
      </c>
      <c r="AT250" s="5">
        <v>-3631.7424099999998</v>
      </c>
      <c r="AV250" s="5"/>
      <c r="AW250" s="5"/>
      <c r="AX250" s="5"/>
      <c r="AY250" s="5"/>
      <c r="AZ250" s="5"/>
      <c r="BA250" s="5"/>
      <c r="BB250" s="5"/>
      <c r="BC250" s="5" t="s">
        <v>128</v>
      </c>
      <c r="BD250" s="5">
        <v>-160505.72487000001</v>
      </c>
      <c r="BE250" s="5">
        <v>81347.064199999993</v>
      </c>
      <c r="BF250" s="5"/>
      <c r="BG250" s="5"/>
      <c r="BH250" s="5"/>
      <c r="BO250">
        <v>7031338.5412999997</v>
      </c>
      <c r="BP250" s="31">
        <v>-16393100</v>
      </c>
      <c r="BQ250" s="31">
        <v>15319600</v>
      </c>
      <c r="BR250">
        <v>-7165069.7259099996</v>
      </c>
      <c r="BS250">
        <v>1676430.0115499999</v>
      </c>
      <c r="BT250">
        <v>-156939.83723</v>
      </c>
      <c r="BY250" s="5" t="s">
        <v>128</v>
      </c>
      <c r="BZ250">
        <v>-79582.291079999995</v>
      </c>
      <c r="CA250">
        <v>37201.565560000003</v>
      </c>
      <c r="CK250">
        <v>41656.26885</v>
      </c>
      <c r="CL250">
        <v>-44395.174180000002</v>
      </c>
      <c r="CM250">
        <v>20408.031449999999</v>
      </c>
      <c r="CN250">
        <v>-4878.6998599999997</v>
      </c>
      <c r="CO250">
        <v>595.34870000000001</v>
      </c>
      <c r="CP250">
        <v>-29.359739999999999</v>
      </c>
      <c r="CV250">
        <v>4003.3279699999998</v>
      </c>
      <c r="CW250">
        <v>-1618.5698400000001</v>
      </c>
      <c r="CX250">
        <v>272.98403999999999</v>
      </c>
      <c r="CY250">
        <v>-23.314979999999998</v>
      </c>
      <c r="CZ250">
        <v>0.99455000000000005</v>
      </c>
      <c r="DA250">
        <v>-1.6840000000000001E-2</v>
      </c>
      <c r="DF250" s="5" t="s">
        <v>128</v>
      </c>
      <c r="DG250">
        <v>-15839.979160000001</v>
      </c>
      <c r="DH250">
        <v>985.56200000000001</v>
      </c>
      <c r="DR250">
        <v>-32460.49352</v>
      </c>
      <c r="DS250">
        <v>9613.0058700000009</v>
      </c>
      <c r="DT250">
        <v>-1117.25576</v>
      </c>
      <c r="DU250">
        <v>64.220240000000004</v>
      </c>
      <c r="DV250">
        <v>-1.8318099999999999</v>
      </c>
      <c r="DW250">
        <v>2.078E-2</v>
      </c>
    </row>
    <row r="251" spans="2:232" ht="15.95" customHeight="1">
      <c r="B251" s="6">
        <f>AS251+AT251*$B$15</f>
        <v>-4119.6500579999993</v>
      </c>
      <c r="C251" s="6">
        <f t="shared" si="42"/>
        <v>4194013.8083698396</v>
      </c>
      <c r="D251" s="6">
        <f>BO251+BP251*$B$15</f>
        <v>-17263.66312216</v>
      </c>
      <c r="E251" s="6">
        <f>BZ251+CA251*$B$15</f>
        <v>407537.28101096</v>
      </c>
      <c r="F251" s="6">
        <f>CK251+CL251*$B$15+CM251*$B$15^2+CN251*$B$15^3+CO251*$B$15^4+CP251*$B$15^5+CQ251*$B$15^6+CR251*$B$15^7+CS251*$B$15^8+CT251*$B$15^9</f>
        <v>-1218810200.0211458</v>
      </c>
      <c r="G251" s="6">
        <f>CV251+CW251*$B$15</f>
        <v>268707.00596559996</v>
      </c>
      <c r="H251" s="6">
        <f>DG251+DH251*$B$15+DI251*$B$15^2+DJ251*$B$15^3+DK251*$B$15^4+DL251*$B$15^5+DM251*$B$15^6+DN251*$B$15^7+DO251*$B$15^8+DP251*$B$15^9</f>
        <v>-1140.5719672670821</v>
      </c>
      <c r="I251" s="6">
        <f>DR251+DS251*$B$15+DT251*$B$15^2+DU251*$B$15^3+DV251*$B$15^4+DW251*$B$15^5+DX251*$B$15^6+DY251*$B$15^7+DZ251*$B$15^8+EA251*$B$15^9</f>
        <v>120.35689511776812</v>
      </c>
      <c r="J251" s="6">
        <f>EC251+ED251*$B$15</f>
        <v>-7715.9968822399996</v>
      </c>
      <c r="K251" s="6">
        <f>EN251+EO251*$B$15+EP251*$B$15^2+EQ251*$B$15^3+ER251*$B$15^4+ES251*$B$15^5+ET251*$B$15^6+EU251*$B$15^7+EV251*$B$15^8+EW251*$B$15^9</f>
        <v>-1052.5243624061468</v>
      </c>
      <c r="N251" s="2">
        <v>39</v>
      </c>
      <c r="O251" s="2" t="s">
        <v>58</v>
      </c>
      <c r="P251" s="4">
        <v>88.905900000000003</v>
      </c>
      <c r="Q251" s="26">
        <f>D36</f>
        <v>0</v>
      </c>
      <c r="R251" s="6">
        <f>IF($B$15&lt;2.07792,B251,IF($B$15&lt;2.080733,C251,IF($B$15&lt;2.153344,D251,IF($B$15&lt;2.166277,E251,IF($B$15&lt;2.370127,F251,IF($B$15&lt;2.377781,G251,IF($B$15&lt;6.469,H251,IF($B$15&lt;17.02136,I251,IF($B$15&lt;17.12359,J251,IF($B$15&lt;20.2,K251))))))))))</f>
        <v>120.35689511776812</v>
      </c>
      <c r="S251" s="6">
        <f t="shared" si="2"/>
        <v>0</v>
      </c>
      <c r="T251" s="6" t="e">
        <f t="shared" si="3"/>
        <v>#DIV/0!</v>
      </c>
      <c r="U251" s="6" t="e">
        <f t="shared" si="41"/>
        <v>#DIV/0!</v>
      </c>
      <c r="V251" s="49" t="s">
        <v>188</v>
      </c>
      <c r="W251" s="3"/>
      <c r="X251">
        <v>0.81</v>
      </c>
      <c r="Y251" s="3" t="e">
        <f t="shared" si="25"/>
        <v>#DIV/0!</v>
      </c>
      <c r="Z251" s="36" t="e">
        <f t="shared" si="16"/>
        <v>#DIV/0!</v>
      </c>
      <c r="AA251" s="3" t="e">
        <f t="shared" si="36"/>
        <v>#DIV/0!</v>
      </c>
      <c r="AB251" s="36" t="e">
        <f t="shared" si="8"/>
        <v>#DIV/0!</v>
      </c>
      <c r="AC251" s="3" t="e">
        <f t="shared" si="9"/>
        <v>#DIV/0!</v>
      </c>
      <c r="AD251" s="36" t="e">
        <f t="shared" si="10"/>
        <v>#DIV/0!</v>
      </c>
      <c r="AE251" s="36" t="e">
        <f t="shared" si="39"/>
        <v>#DIV/0!</v>
      </c>
      <c r="AF251" s="36" t="e">
        <f t="shared" si="37"/>
        <v>#DIV/0!</v>
      </c>
      <c r="AG251" s="3" t="e">
        <f t="shared" si="38"/>
        <v>#DIV/0!</v>
      </c>
      <c r="AH251" s="36" t="e">
        <f t="shared" si="12"/>
        <v>#DIV/0!</v>
      </c>
      <c r="AI251" s="36" t="e">
        <f t="shared" si="17"/>
        <v>#DIV/0!</v>
      </c>
      <c r="AJ251" s="3" t="e">
        <f t="shared" si="13"/>
        <v>#DIV/0!</v>
      </c>
      <c r="AK251" s="36" t="e">
        <f t="shared" si="14"/>
        <v>#DIV/0!</v>
      </c>
      <c r="AL251" s="36" t="e">
        <f t="shared" si="40"/>
        <v>#DIV/0!</v>
      </c>
      <c r="AM251" s="36" t="e">
        <f t="shared" si="18"/>
        <v>#DIV/0!</v>
      </c>
      <c r="AP251" s="32">
        <v>39</v>
      </c>
      <c r="AQ251" s="1" t="s">
        <v>58</v>
      </c>
      <c r="AR251" s="5" t="s">
        <v>128</v>
      </c>
      <c r="AS251" s="5">
        <v>2256.1747300000002</v>
      </c>
      <c r="AT251" s="5">
        <v>-792.22474999999997</v>
      </c>
      <c r="AV251" s="5"/>
      <c r="AW251" s="5"/>
      <c r="AX251" s="5"/>
      <c r="AY251" s="5"/>
      <c r="AZ251" s="5"/>
      <c r="BA251" s="5"/>
      <c r="BB251" s="5"/>
      <c r="BC251" s="5" t="s">
        <v>128</v>
      </c>
      <c r="BD251" s="5">
        <v>-1458926.56843</v>
      </c>
      <c r="BE251" s="5">
        <v>702403.12832999998</v>
      </c>
      <c r="BF251" s="5"/>
      <c r="BG251" s="5"/>
      <c r="BH251" s="5"/>
      <c r="BN251" s="5" t="s">
        <v>128</v>
      </c>
      <c r="BO251">
        <v>9505.8614300000008</v>
      </c>
      <c r="BP251">
        <v>-3326.23317</v>
      </c>
      <c r="BY251" s="5" t="s">
        <v>128</v>
      </c>
      <c r="BZ251">
        <v>-145673.26563000001</v>
      </c>
      <c r="CA251">
        <v>68738.885020000002</v>
      </c>
      <c r="CK251" s="31">
        <v>12183200</v>
      </c>
      <c r="CL251" s="31">
        <v>-26541500</v>
      </c>
      <c r="CM251" s="31">
        <v>23154800</v>
      </c>
      <c r="CN251" s="31">
        <v>-10105400</v>
      </c>
      <c r="CO251">
        <v>2205739.6311400002</v>
      </c>
      <c r="CP251">
        <v>-192607.12807999999</v>
      </c>
      <c r="CU251" s="5" t="s">
        <v>128</v>
      </c>
      <c r="CV251">
        <v>-108562.70922</v>
      </c>
      <c r="CW251">
        <v>46877.449699999997</v>
      </c>
      <c r="DG251">
        <v>28827.619060000001</v>
      </c>
      <c r="DH251">
        <v>-25041.90639</v>
      </c>
      <c r="DI251">
        <v>9282.4480199999998</v>
      </c>
      <c r="DJ251">
        <v>-1774.9438600000001</v>
      </c>
      <c r="DK251">
        <v>172.14913000000001</v>
      </c>
      <c r="DL251">
        <v>-6.7123699999999999</v>
      </c>
      <c r="DR251">
        <v>2595.9558999999999</v>
      </c>
      <c r="DS251">
        <v>-888.37270999999998</v>
      </c>
      <c r="DT251">
        <v>128.92422999999999</v>
      </c>
      <c r="DU251">
        <v>-9.6189800000000005</v>
      </c>
      <c r="DV251">
        <v>0.36312</v>
      </c>
      <c r="DW251">
        <v>-5.4999999999999997E-3</v>
      </c>
      <c r="EB251" s="5" t="s">
        <v>128</v>
      </c>
      <c r="EC251">
        <v>-14650.046</v>
      </c>
      <c r="ED251">
        <v>861.58662000000004</v>
      </c>
      <c r="EN251">
        <v>-15104.92707</v>
      </c>
      <c r="EO251">
        <v>3504.3646600000002</v>
      </c>
      <c r="EP251">
        <v>-298.06191999999999</v>
      </c>
      <c r="EQ251">
        <v>11.1348</v>
      </c>
      <c r="ER251">
        <v>-0.15479999999999999</v>
      </c>
    </row>
    <row r="252" spans="2:232" ht="15.95" customHeight="1">
      <c r="B252" s="6">
        <f>AS252+AT252*$B$15+AU252*$B$15^2+AV252*$B$15^3+AW252*$B$15^4+AX252*$B$15^5+AY252*$B$15^6+AZ252*$B$15^7+BA252*$B$15^8+BB252*$B$15^9</f>
        <v>-79698.912870247237</v>
      </c>
      <c r="C252" s="6">
        <f t="shared" si="42"/>
        <v>2458644.2956682406</v>
      </c>
      <c r="D252" s="6">
        <f>BO252+BP252*$B$15+BQ252*$B$15^2+BR252*$B$15^3+BS252*$B$15^4+BT252*$B$15^5+BU252*$B$15^6+BV252*$B$15^7+BW252*$B$15^8+BX252*$B$15^9</f>
        <v>-240737.3894000185</v>
      </c>
      <c r="E252" s="6">
        <f>BZ252+CA252*$B$15</f>
        <v>334539.20510192006</v>
      </c>
      <c r="F252" s="6">
        <f>CK252+CL252*$B$15+CM252*$B$15^2+CN252*$B$15^3+CO252*$B$15^4+CP252*$B$15^5+CQ252*$B$15^6+CR252*$B$15^7+CS252*$B$15^8+CT252*$B$15^9</f>
        <v>-688563.68721685</v>
      </c>
      <c r="G252" s="6">
        <f>CV252+CW252*$B$15</f>
        <v>138256.14580776001</v>
      </c>
      <c r="H252" s="6">
        <f>DG252+DH252*$B$15+DI252*$B$15^2+DJ252*$B$15^3+DK252*$B$15^4+DL252*$B$15^5+DM252*$B$15^6+DN252*$B$15^7+DO252*$B$15^8+DP252*$B$15^9</f>
        <v>-546.87896006341907</v>
      </c>
      <c r="I252" s="6">
        <f>DR252+DS252*$B$15+DT252*$B$15^2+DU252*$B$15^3+DV252*$B$15^4+DW252*$B$15^5+DX252*$B$15^6+DY252*$B$15^7+DZ252*$B$15^8+EA252*$B$15^9</f>
        <v>130.2308689733598</v>
      </c>
      <c r="J252" s="6">
        <f>EC252+ED252*$B$15</f>
        <v>-7408.0941704799998</v>
      </c>
      <c r="K252" s="6">
        <f>EN252+EO252*$B$15+EP252*$B$15^2+EQ252*$B$15^3+ER252*$B$15^4+ES252*$B$15^5+ET252*$B$15^6+EU252*$B$15^7+EV252*$B$15^8+EW252*$B$15^9</f>
        <v>280.00704540879866</v>
      </c>
      <c r="N252" s="2">
        <v>40</v>
      </c>
      <c r="O252" s="2" t="s">
        <v>59</v>
      </c>
      <c r="P252" s="4">
        <v>91.22</v>
      </c>
      <c r="Q252" s="26">
        <f>E36</f>
        <v>0</v>
      </c>
      <c r="R252" s="6">
        <f>IF($B$15&lt;2.22,B252,IF($B$15&lt;2.2243,C252,IF($B$15&lt;2.30439,D252,IF($B$15&lt;2.31823,E252,IF($B$15&lt;2.529068,F252,IF($B$15&lt;2.541848,G252,IF($B$15&lt;6.469,H252,IF($B$15&lt;17.9796,I252,IF($B$15&lt;18.08759,J252,IF($B$15&lt;20.2,K252))))))))))</f>
        <v>130.2308689733598</v>
      </c>
      <c r="S252" s="6">
        <f t="shared" si="2"/>
        <v>0</v>
      </c>
      <c r="T252" s="6" t="e">
        <f t="shared" si="3"/>
        <v>#DIV/0!</v>
      </c>
      <c r="U252" s="6" t="e">
        <f t="shared" si="41"/>
        <v>#DIV/0!</v>
      </c>
      <c r="V252" s="49" t="s">
        <v>188</v>
      </c>
      <c r="W252" s="3"/>
      <c r="X252">
        <v>0.80500000000000005</v>
      </c>
      <c r="Y252" s="3" t="e">
        <f t="shared" si="25"/>
        <v>#DIV/0!</v>
      </c>
      <c r="Z252" s="36" t="e">
        <f t="shared" si="16"/>
        <v>#DIV/0!</v>
      </c>
      <c r="AA252" s="3" t="e">
        <f t="shared" si="36"/>
        <v>#DIV/0!</v>
      </c>
      <c r="AB252" s="36" t="e">
        <f t="shared" si="8"/>
        <v>#DIV/0!</v>
      </c>
      <c r="AC252" s="3" t="e">
        <f t="shared" si="9"/>
        <v>#DIV/0!</v>
      </c>
      <c r="AD252" s="36" t="e">
        <f t="shared" si="10"/>
        <v>#DIV/0!</v>
      </c>
      <c r="AE252" s="36" t="e">
        <f t="shared" si="39"/>
        <v>#DIV/0!</v>
      </c>
      <c r="AF252" s="36" t="e">
        <f t="shared" si="37"/>
        <v>#DIV/0!</v>
      </c>
      <c r="AG252" s="3" t="e">
        <f t="shared" si="38"/>
        <v>#DIV/0!</v>
      </c>
      <c r="AH252" s="36" t="e">
        <f t="shared" si="12"/>
        <v>#DIV/0!</v>
      </c>
      <c r="AI252" s="36" t="e">
        <f t="shared" si="17"/>
        <v>#DIV/0!</v>
      </c>
      <c r="AJ252" s="3" t="e">
        <f t="shared" si="13"/>
        <v>#DIV/0!</v>
      </c>
      <c r="AK252" s="36" t="e">
        <f t="shared" si="14"/>
        <v>#DIV/0!</v>
      </c>
      <c r="AL252" s="36" t="e">
        <f t="shared" si="40"/>
        <v>#DIV/0!</v>
      </c>
      <c r="AM252" s="36" t="e">
        <f t="shared" si="18"/>
        <v>#DIV/0!</v>
      </c>
      <c r="AP252" s="32">
        <v>40</v>
      </c>
      <c r="AQ252" s="1" t="s">
        <v>59</v>
      </c>
      <c r="AS252" s="5">
        <v>9356.9049400000004</v>
      </c>
      <c r="AT252" s="5">
        <v>-9600.4585599999991</v>
      </c>
      <c r="AU252" s="5">
        <v>3580.2734999999998</v>
      </c>
      <c r="AV252" s="5">
        <v>-467.48532</v>
      </c>
      <c r="AW252" s="5"/>
      <c r="AX252" s="5"/>
      <c r="AY252" s="5"/>
      <c r="AZ252" s="5"/>
      <c r="BA252" s="5"/>
      <c r="BB252" s="5"/>
      <c r="BC252" s="5" t="s">
        <v>128</v>
      </c>
      <c r="BD252" s="5">
        <v>-935798.71430999995</v>
      </c>
      <c r="BE252" s="5">
        <v>421774.72788000002</v>
      </c>
      <c r="BF252" s="5"/>
      <c r="BG252" s="5"/>
      <c r="BH252" s="5"/>
      <c r="BO252">
        <v>40760.228289999999</v>
      </c>
      <c r="BP252">
        <v>-39401.586080000001</v>
      </c>
      <c r="BQ252">
        <v>13542.98184</v>
      </c>
      <c r="BR252" s="31">
        <v>-1614.4693400000001</v>
      </c>
      <c r="BY252" s="5" t="s">
        <v>128</v>
      </c>
      <c r="BZ252">
        <v>-131244.60990000001</v>
      </c>
      <c r="CA252">
        <v>57875.722540000002</v>
      </c>
      <c r="CK252">
        <v>88918.189490000004</v>
      </c>
      <c r="CL252" s="31">
        <v>-93829.900739999997</v>
      </c>
      <c r="CM252" s="31">
        <v>34515.025750000001</v>
      </c>
      <c r="CN252" s="31">
        <v>-4331.5008600000001</v>
      </c>
      <c r="CU252" s="5" t="s">
        <v>128</v>
      </c>
      <c r="CV252">
        <v>-59984.104570000003</v>
      </c>
      <c r="CW252">
        <v>24632.237870000001</v>
      </c>
      <c r="DG252">
        <v>26976.867279999999</v>
      </c>
      <c r="DH252">
        <v>-22253.796590000002</v>
      </c>
      <c r="DI252">
        <v>7845.5867500000004</v>
      </c>
      <c r="DJ252">
        <v>-1429.98963</v>
      </c>
      <c r="DK252">
        <v>132.55377999999999</v>
      </c>
      <c r="DL252">
        <v>-4.9540199999999999</v>
      </c>
      <c r="DR252">
        <v>2646.1536599999999</v>
      </c>
      <c r="DS252">
        <v>-879.61919</v>
      </c>
      <c r="DT252">
        <v>123.54264000000001</v>
      </c>
      <c r="DU252">
        <v>-8.8914899999999992</v>
      </c>
      <c r="DV252">
        <v>0.32289000000000001</v>
      </c>
      <c r="DW252">
        <v>-4.6899999999999997E-3</v>
      </c>
      <c r="EB252" s="5" t="s">
        <v>128</v>
      </c>
      <c r="EC252">
        <v>-13422.81719</v>
      </c>
      <c r="ED252">
        <v>747.35623999999996</v>
      </c>
      <c r="EN252">
        <v>193.22734</v>
      </c>
      <c r="EO252">
        <v>39.377119999999998</v>
      </c>
      <c r="EP252">
        <v>-4.4154</v>
      </c>
      <c r="EQ252">
        <v>0.10716000000000001</v>
      </c>
    </row>
    <row r="253" spans="2:232" ht="15.95" customHeight="1">
      <c r="B253" s="6">
        <f>AS253+AT253*$B$15+AU253*$B$15^2+AV253*$B$15^3+AW253*$B$15^4+AX253*$B$15^5+AY253*$B$15^6+AZ253*$B$15^7+BA253*$B$15^8+BB253*$B$15^9</f>
        <v>-72559.719710938691</v>
      </c>
      <c r="C253" s="6">
        <f t="shared" si="42"/>
        <v>947742.27498319978</v>
      </c>
      <c r="D253" s="6">
        <f>BO253+BP253*$B$15</f>
        <v>-12014.014844320001</v>
      </c>
      <c r="E253" s="6">
        <f>BZ253+CA253*$B$15</f>
        <v>276962.68219216005</v>
      </c>
      <c r="F253" s="6">
        <f>CK253+CL253*$B$15+CM253*$B$15^2+CN253*$B$15^3+CO253*$B$15^4+CP253*$B$15^5+CQ253*$B$15^6+CR253*$B$15^7+CS253*$B$15^8+CT253*$B$15^9</f>
        <v>-427415.15524721937</v>
      </c>
      <c r="G253" s="6">
        <f>CV253+CW253*$B$15</f>
        <v>95948.138103840029</v>
      </c>
      <c r="H253" s="6">
        <f>DG253+DH253*$B$15+DI253*$B$15^2+DJ253*$B$15^3+DK253*$B$15^4+DL253*$B$15^5+DM253*$B$15^6+DN253*$B$15^7+DO253*$B$15^8+DP253*$B$15^9</f>
        <v>-121.00793675000023</v>
      </c>
      <c r="I253" s="6">
        <f>DR253+DS253*$B$15+DT253*$B$15^2+DU253*$B$15^3+DV253*$B$15^4+DW253*$B$15^5+DX253*$B$15^6+DY253*$B$15^7+DZ253*$B$15^8+EA253*$B$15^9</f>
        <v>141.48442146804575</v>
      </c>
      <c r="J253" s="6">
        <f>EC253+ED253*$B$15</f>
        <v>-7131.85413032</v>
      </c>
      <c r="K253" s="6">
        <f>EN253+EO253*$B$15</f>
        <v>216.32570992000001</v>
      </c>
      <c r="N253" s="2">
        <v>41</v>
      </c>
      <c r="O253" s="2" t="s">
        <v>60</v>
      </c>
      <c r="P253" s="4">
        <v>92.906400000000005</v>
      </c>
      <c r="Q253" s="26">
        <f>F36</f>
        <v>0</v>
      </c>
      <c r="R253" s="6">
        <f>IF($B$15&lt;2.36813,B253,IF($B$15&lt;2.37778,C253,IF($B$15&lt;2.462235,D253,IF($B$15&lt;2.477023,E253,IF($B$15&lt;2.695,F253,IF($B$15&lt;2.711189,G253,IF($B$15&lt;6.469,H253,IF($B$15&lt;18.96661,I253,IF($B$15&lt;19.08053,J253,IF($B$15&lt;20.2,K253))))))))))</f>
        <v>141.48442146804575</v>
      </c>
      <c r="S253" s="6">
        <f t="shared" si="2"/>
        <v>0</v>
      </c>
      <c r="T253" s="6" t="e">
        <f t="shared" si="3"/>
        <v>#DIV/0!</v>
      </c>
      <c r="U253" s="6" t="e">
        <f t="shared" si="41"/>
        <v>#DIV/0!</v>
      </c>
      <c r="V253" s="49" t="s">
        <v>188</v>
      </c>
      <c r="W253" s="3"/>
      <c r="X253">
        <v>0.8</v>
      </c>
      <c r="Y253" s="3" t="e">
        <f t="shared" si="25"/>
        <v>#DIV/0!</v>
      </c>
      <c r="Z253" s="36" t="e">
        <f t="shared" si="16"/>
        <v>#DIV/0!</v>
      </c>
      <c r="AA253" s="3" t="e">
        <f t="shared" si="36"/>
        <v>#DIV/0!</v>
      </c>
      <c r="AB253" s="36" t="e">
        <f t="shared" si="8"/>
        <v>#DIV/0!</v>
      </c>
      <c r="AC253" s="3" t="e">
        <f t="shared" si="9"/>
        <v>#DIV/0!</v>
      </c>
      <c r="AD253" s="36" t="e">
        <f t="shared" si="10"/>
        <v>#DIV/0!</v>
      </c>
      <c r="AE253" s="36" t="e">
        <f t="shared" si="39"/>
        <v>#DIV/0!</v>
      </c>
      <c r="AF253" s="36" t="e">
        <f t="shared" si="37"/>
        <v>#DIV/0!</v>
      </c>
      <c r="AG253" s="3" t="e">
        <f t="shared" si="38"/>
        <v>#DIV/0!</v>
      </c>
      <c r="AH253" s="36" t="e">
        <f t="shared" si="12"/>
        <v>#DIV/0!</v>
      </c>
      <c r="AI253" s="36" t="e">
        <f t="shared" si="17"/>
        <v>#DIV/0!</v>
      </c>
      <c r="AJ253" s="3" t="e">
        <f t="shared" si="13"/>
        <v>#DIV/0!</v>
      </c>
      <c r="AK253" s="36" t="e">
        <f t="shared" si="14"/>
        <v>#DIV/0!</v>
      </c>
      <c r="AL253" s="36" t="e">
        <f t="shared" si="40"/>
        <v>#DIV/0!</v>
      </c>
      <c r="AM253" s="36" t="e">
        <f t="shared" si="18"/>
        <v>#DIV/0!</v>
      </c>
      <c r="AP253" s="32">
        <v>41</v>
      </c>
      <c r="AQ253" s="1" t="s">
        <v>60</v>
      </c>
      <c r="AR253"/>
      <c r="AS253" s="5">
        <v>9711.7685500000007</v>
      </c>
      <c r="AT253" s="5">
        <v>-9683.4514099999997</v>
      </c>
      <c r="AU253" s="5">
        <v>3505.5419200000001</v>
      </c>
      <c r="AV253" s="5">
        <v>-443.90328</v>
      </c>
      <c r="AW253" s="5"/>
      <c r="AX253" s="5"/>
      <c r="AY253" s="5"/>
      <c r="AZ253" s="5"/>
      <c r="BA253" s="5"/>
      <c r="BB253" s="5"/>
      <c r="BC253" s="5" t="s">
        <v>128</v>
      </c>
      <c r="BD253" s="5">
        <v>-394374.92738000001</v>
      </c>
      <c r="BE253" s="5">
        <v>166764.06589999999</v>
      </c>
      <c r="BF253" s="5"/>
      <c r="BG253" s="5"/>
      <c r="BH253" s="5"/>
      <c r="BN253" s="5" t="s">
        <v>128</v>
      </c>
      <c r="BO253">
        <v>8092.4149399999997</v>
      </c>
      <c r="BP253" s="31">
        <v>-2498.3138399999998</v>
      </c>
      <c r="BY253" s="5" t="s">
        <v>128</v>
      </c>
      <c r="BZ253">
        <v>-119287.57478</v>
      </c>
      <c r="CA253">
        <v>49235.86692</v>
      </c>
      <c r="CK253" s="31">
        <v>77066.567150000003</v>
      </c>
      <c r="CL253" s="31">
        <v>-75413.6541</v>
      </c>
      <c r="CM253">
        <v>25762.480950000001</v>
      </c>
      <c r="CN253">
        <v>-3004.5698600000001</v>
      </c>
      <c r="CU253" s="5" t="s">
        <v>128</v>
      </c>
      <c r="CV253">
        <v>-45104.410219999998</v>
      </c>
      <c r="CW253">
        <v>17526.410080000001</v>
      </c>
      <c r="DG253">
        <v>25390.56251</v>
      </c>
      <c r="DH253">
        <v>-19784.803690000001</v>
      </c>
      <c r="DI253">
        <v>6580.2251100000003</v>
      </c>
      <c r="DJ253">
        <v>-1130.8912700000001</v>
      </c>
      <c r="DK253">
        <v>98.862430000000003</v>
      </c>
      <c r="DL253">
        <v>-3.4870299999999999</v>
      </c>
      <c r="DR253">
        <v>2684.92031</v>
      </c>
      <c r="DS253">
        <v>-864.11321999999996</v>
      </c>
      <c r="DT253">
        <v>117.09703</v>
      </c>
      <c r="DU253">
        <v>-8.1067800000000005</v>
      </c>
      <c r="DV253">
        <v>0.28248000000000001</v>
      </c>
      <c r="DW253">
        <v>-3.9300000000000003E-3</v>
      </c>
      <c r="EB253" s="5" t="s">
        <v>128</v>
      </c>
      <c r="EC253">
        <v>-12398.65977</v>
      </c>
      <c r="ED253">
        <v>654.42416000000003</v>
      </c>
      <c r="EM253" s="5" t="s">
        <v>128</v>
      </c>
      <c r="EN253">
        <v>309.95582000000002</v>
      </c>
      <c r="EO253">
        <v>-11.63396</v>
      </c>
    </row>
    <row r="254" spans="2:232" ht="15.95" customHeight="1">
      <c r="B254" s="6">
        <f>AS254+AT254*$B$15+AU254*$B$15^2+AV254*$B$15^3+AW254*$B$15^4+AX254*$B$15^5+AY254*$B$15^6+AZ254*$B$15^7+BA254*$B$15^8+BB254*$B$15^9</f>
        <v>-59073.626341842319</v>
      </c>
      <c r="C254" s="6">
        <f t="shared" si="42"/>
        <v>522057.87742088002</v>
      </c>
      <c r="D254" s="6">
        <f>BO254+BP254*$B$15+BQ254*$B$15^2+BR254*$B$15^3+BS254*$B$15^4+BT254*$B$15^5+BU254*$B$15^6+BV254*$B$15^7+BW254*$B$15^8+BX254*$B$15^9</f>
        <v>-287988.81907521957</v>
      </c>
      <c r="E254" s="6">
        <f>BZ254+CA254*$B$15</f>
        <v>226215.81999135995</v>
      </c>
      <c r="F254" s="6">
        <f>CK254+CL254*$B$15+CM254*$B$15^2+CN254*$B$15^3+CO254*$B$15^4+CP254*$B$15^5+CQ254*$B$15^6+CR254*$B$15^7+CS254*$B$15^8+CT254*$B$15^9</f>
        <v>-197972.34035774623</v>
      </c>
      <c r="G254" s="6">
        <f>CV254+CW254*$B$15</f>
        <v>79784.617516080005</v>
      </c>
      <c r="H254" s="6">
        <f>DG254+DH254*$B$15+DI254*$B$15^2+DJ254*$B$15^3+DK254*$B$15^4+DL254*$B$15^5+DM254*$B$15^6+DN254*$B$15^7+DO254*$B$15^8+DP254*$B$15^9</f>
        <v>30.394402632518904</v>
      </c>
      <c r="I254" s="6">
        <f>DR254+DS254*$B$15+DT254*$B$15^2+DU254*$B$15^3+DV254*$B$15^4+DW254*$B$15^5+DX254*$B$15^6+DY254*$B$15^7+DZ254*$B$15^8+EA254*$B$15^9</f>
        <v>151.34644849201629</v>
      </c>
      <c r="N254" s="2">
        <v>42</v>
      </c>
      <c r="O254" s="2" t="s">
        <v>10</v>
      </c>
      <c r="P254" s="4">
        <v>95.95</v>
      </c>
      <c r="Q254" s="26">
        <f>G36</f>
        <v>0</v>
      </c>
      <c r="R254" s="6">
        <f>IF($B$15&lt;2.51768,B254,IF($B$15&lt;2.5328,C254,IF($B$15&lt;2.622475,D254,IF($B$15&lt;2.638225,E254,IF($B$15&lt;2.862634,F254,IF($B$15&lt;2.879827,G254,IF($B$15&lt;6.915365,H254,IF($B$15&lt;20.2,I254))))))))</f>
        <v>151.34644849201629</v>
      </c>
      <c r="S254" s="6">
        <f t="shared" si="2"/>
        <v>0</v>
      </c>
      <c r="T254" s="6" t="e">
        <f t="shared" si="3"/>
        <v>#DIV/0!</v>
      </c>
      <c r="U254" s="6" t="e">
        <f t="shared" si="24"/>
        <v>#DIV/0!</v>
      </c>
      <c r="V254" s="49" t="s">
        <v>188</v>
      </c>
      <c r="W254" s="3"/>
      <c r="X254">
        <v>0.79500000000000004</v>
      </c>
      <c r="Y254" s="3" t="e">
        <f t="shared" si="25"/>
        <v>#DIV/0!</v>
      </c>
      <c r="Z254" s="36" t="e">
        <f t="shared" si="16"/>
        <v>#DIV/0!</v>
      </c>
      <c r="AA254" s="3" t="e">
        <f t="shared" si="36"/>
        <v>#DIV/0!</v>
      </c>
      <c r="AB254" s="36" t="e">
        <f t="shared" si="8"/>
        <v>#DIV/0!</v>
      </c>
      <c r="AC254" s="3" t="e">
        <f t="shared" si="9"/>
        <v>#DIV/0!</v>
      </c>
      <c r="AD254" s="36" t="e">
        <f t="shared" si="10"/>
        <v>#DIV/0!</v>
      </c>
      <c r="AE254" s="36" t="e">
        <f t="shared" si="39"/>
        <v>#DIV/0!</v>
      </c>
      <c r="AF254" s="36" t="e">
        <f t="shared" si="37"/>
        <v>#DIV/0!</v>
      </c>
      <c r="AG254" s="3" t="e">
        <f t="shared" si="38"/>
        <v>#DIV/0!</v>
      </c>
      <c r="AH254" s="36" t="e">
        <f t="shared" si="12"/>
        <v>#DIV/0!</v>
      </c>
      <c r="AI254" s="36" t="e">
        <f t="shared" si="17"/>
        <v>#DIV/0!</v>
      </c>
      <c r="AJ254" s="3" t="e">
        <f t="shared" si="13"/>
        <v>#DIV/0!</v>
      </c>
      <c r="AK254" s="36" t="e">
        <f t="shared" si="14"/>
        <v>#DIV/0!</v>
      </c>
      <c r="AL254" s="36" t="e">
        <f t="shared" si="40"/>
        <v>#DIV/0!</v>
      </c>
      <c r="AM254" s="36" t="e">
        <f t="shared" si="18"/>
        <v>#DIV/0!</v>
      </c>
      <c r="AP254" s="32">
        <v>42</v>
      </c>
      <c r="AQ254" s="1" t="s">
        <v>10</v>
      </c>
      <c r="AR254"/>
      <c r="AS254" s="5">
        <v>9503.7868600000002</v>
      </c>
      <c r="AT254" s="5">
        <v>-9094.2544099999996</v>
      </c>
      <c r="AU254" s="5">
        <v>3159.01631</v>
      </c>
      <c r="AV254" s="5">
        <v>-383.67210999999998</v>
      </c>
      <c r="AW254" s="5"/>
      <c r="AX254" s="5"/>
      <c r="AY254" s="5"/>
      <c r="AZ254" s="5"/>
      <c r="BA254" s="5"/>
      <c r="BB254" s="5"/>
      <c r="BC254" s="5" t="s">
        <v>128</v>
      </c>
      <c r="BD254" s="5">
        <v>-236926.90929000001</v>
      </c>
      <c r="BE254" s="5">
        <v>94307.254809999999</v>
      </c>
      <c r="BF254" s="5"/>
      <c r="BG254" s="5"/>
      <c r="BH254" s="5"/>
      <c r="BO254">
        <v>51337.196389999997</v>
      </c>
      <c r="BP254" s="31">
        <v>-49594.70521</v>
      </c>
      <c r="BQ254" s="31">
        <v>16911.632850000002</v>
      </c>
      <c r="BR254">
        <v>-1986.6031700000001</v>
      </c>
      <c r="BY254" s="5" t="s">
        <v>128</v>
      </c>
      <c r="BZ254">
        <v>-106741.43713999999</v>
      </c>
      <c r="CA254">
        <v>41371.428569999996</v>
      </c>
      <c r="CK254" s="31">
        <v>54670.227050000001</v>
      </c>
      <c r="CL254">
        <v>-48311.579429999998</v>
      </c>
      <c r="CM254">
        <v>15046.3169</v>
      </c>
      <c r="CN254">
        <v>-1608.34737</v>
      </c>
      <c r="CU254" s="5" t="s">
        <v>128</v>
      </c>
      <c r="CV254">
        <v>-41031.342490000003</v>
      </c>
      <c r="CW254">
        <v>15011.92346</v>
      </c>
      <c r="DG254">
        <v>24613.611700000001</v>
      </c>
      <c r="DH254">
        <v>-18496.747879999999</v>
      </c>
      <c r="DI254">
        <v>5927.8219900000004</v>
      </c>
      <c r="DJ254">
        <v>-981.03985999999998</v>
      </c>
      <c r="DK254">
        <v>82.547960000000003</v>
      </c>
      <c r="DL254">
        <v>-2.8014399999999999</v>
      </c>
      <c r="DR254">
        <v>2379.2137600000001</v>
      </c>
      <c r="DS254">
        <v>-714.19521999999995</v>
      </c>
      <c r="DT254">
        <v>90.336250000000007</v>
      </c>
      <c r="DU254">
        <v>-5.8446800000000003</v>
      </c>
      <c r="DV254">
        <v>0.19059999999999999</v>
      </c>
      <c r="DW254">
        <v>-2.49E-3</v>
      </c>
    </row>
    <row r="255" spans="2:232" ht="15.95" customHeight="1">
      <c r="B255" s="14"/>
      <c r="C255" s="14"/>
      <c r="D255" s="14"/>
      <c r="E255" s="14"/>
      <c r="F255" s="14"/>
      <c r="G255" s="14"/>
      <c r="H255" s="14"/>
      <c r="I255" s="14"/>
      <c r="J255" s="14"/>
      <c r="K255" s="14"/>
      <c r="L255" s="14"/>
      <c r="M255" s="14"/>
      <c r="N255" s="2">
        <v>43</v>
      </c>
      <c r="O255" s="2" t="s">
        <v>66</v>
      </c>
      <c r="P255" s="4">
        <v>98</v>
      </c>
      <c r="Q255" s="25"/>
      <c r="R255" s="14"/>
      <c r="S255" s="14"/>
      <c r="T255" s="14"/>
      <c r="U255" s="14"/>
      <c r="V255" s="49"/>
      <c r="W255" s="3"/>
      <c r="X255">
        <v>0.79</v>
      </c>
      <c r="Y255" s="3" t="e">
        <f t="shared" si="25"/>
        <v>#DIV/0!</v>
      </c>
      <c r="Z255" s="36" t="e">
        <f t="shared" si="16"/>
        <v>#DIV/0!</v>
      </c>
      <c r="AA255" s="3" t="e">
        <f t="shared" si="36"/>
        <v>#DIV/0!</v>
      </c>
      <c r="AB255" s="36" t="e">
        <f t="shared" si="8"/>
        <v>#DIV/0!</v>
      </c>
      <c r="AC255" s="3" t="e">
        <f t="shared" si="9"/>
        <v>#DIV/0!</v>
      </c>
      <c r="AD255" s="36" t="e">
        <f t="shared" si="10"/>
        <v>#DIV/0!</v>
      </c>
      <c r="AE255" s="36" t="e">
        <f t="shared" si="39"/>
        <v>#DIV/0!</v>
      </c>
      <c r="AF255" s="36" t="e">
        <f t="shared" si="37"/>
        <v>#DIV/0!</v>
      </c>
      <c r="AG255" s="3" t="e">
        <f t="shared" si="38"/>
        <v>#DIV/0!</v>
      </c>
      <c r="AH255" s="36" t="e">
        <f t="shared" si="12"/>
        <v>#DIV/0!</v>
      </c>
      <c r="AI255" s="36" t="e">
        <f t="shared" si="17"/>
        <v>#DIV/0!</v>
      </c>
      <c r="AJ255" s="3" t="e">
        <f t="shared" si="13"/>
        <v>#DIV/0!</v>
      </c>
      <c r="AK255" s="36" t="e">
        <f t="shared" si="14"/>
        <v>#DIV/0!</v>
      </c>
      <c r="AL255" s="36" t="e">
        <f t="shared" si="40"/>
        <v>#DIV/0!</v>
      </c>
      <c r="AM255" s="36" t="e">
        <f t="shared" si="18"/>
        <v>#DIV/0!</v>
      </c>
      <c r="AP255" s="32">
        <v>43</v>
      </c>
      <c r="AQ255" s="1" t="s">
        <v>66</v>
      </c>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c r="CM255" s="14"/>
      <c r="CN255" s="14"/>
      <c r="CO255" s="14"/>
      <c r="CP255" s="14"/>
      <c r="CQ255" s="14"/>
      <c r="CR255" s="14"/>
      <c r="CS255" s="14"/>
      <c r="CT255" s="14"/>
      <c r="CU255" s="14"/>
      <c r="CV255" s="14"/>
      <c r="CW255" s="14"/>
      <c r="CX255" s="14"/>
      <c r="CY255" s="14"/>
      <c r="CZ255" s="14"/>
      <c r="DA255" s="14"/>
      <c r="DB255" s="14"/>
      <c r="DC255" s="14"/>
      <c r="DD255" s="14"/>
      <c r="DE255" s="14"/>
      <c r="DF255" s="14"/>
      <c r="DG255" s="14"/>
      <c r="DH255" s="14"/>
      <c r="DI255" s="14"/>
      <c r="DJ255" s="14"/>
      <c r="DK255" s="14"/>
      <c r="DL255" s="14"/>
      <c r="DM255" s="14"/>
      <c r="DN255" s="14"/>
      <c r="DO255" s="14"/>
      <c r="DP255" s="14"/>
      <c r="DQ255" s="14"/>
      <c r="DR255" s="14"/>
      <c r="DS255" s="14"/>
      <c r="DT255" s="14"/>
      <c r="DU255" s="14"/>
      <c r="DV255" s="14"/>
      <c r="DW255" s="14"/>
      <c r="DX255" s="14"/>
      <c r="DY255" s="14"/>
      <c r="DZ255" s="14"/>
      <c r="EA255" s="14"/>
      <c r="EB255" s="14"/>
      <c r="EC255" s="14"/>
      <c r="ED255" s="14"/>
      <c r="EE255" s="14"/>
      <c r="EF255" s="14"/>
      <c r="EG255" s="14"/>
      <c r="EH255" s="14"/>
      <c r="EI255" s="14"/>
      <c r="EJ255" s="14"/>
      <c r="EK255" s="14"/>
      <c r="EL255" s="14"/>
      <c r="EM255" s="14"/>
      <c r="EN255" s="14"/>
      <c r="EO255" s="14"/>
      <c r="EP255" s="14"/>
      <c r="EQ255" s="14"/>
      <c r="ER255" s="14"/>
      <c r="ES255" s="14"/>
      <c r="ET255" s="14"/>
      <c r="EU255" s="14"/>
      <c r="EV255" s="14"/>
      <c r="EW255" s="14"/>
      <c r="EX255" s="14"/>
      <c r="EY255" s="14"/>
      <c r="EZ255" s="14"/>
      <c r="FA255" s="14"/>
      <c r="FB255" s="14"/>
      <c r="FC255" s="14"/>
      <c r="FD255" s="14"/>
      <c r="FE255" s="14"/>
      <c r="FF255" s="14"/>
      <c r="FG255" s="14"/>
      <c r="FH255" s="14"/>
      <c r="FI255" s="14"/>
      <c r="FJ255" s="14"/>
      <c r="FK255" s="14"/>
      <c r="FL255" s="14"/>
      <c r="FM255" s="14"/>
      <c r="FN255" s="14"/>
      <c r="FO255" s="14"/>
      <c r="FP255" s="14"/>
      <c r="FQ255" s="14"/>
      <c r="FR255" s="14"/>
      <c r="FS255" s="14"/>
      <c r="FT255" s="14"/>
      <c r="FU255" s="14"/>
      <c r="FV255" s="14"/>
      <c r="FW255" s="14"/>
      <c r="FX255" s="14"/>
      <c r="FY255" s="14"/>
      <c r="FZ255" s="14"/>
      <c r="GA255" s="14"/>
      <c r="GB255" s="14"/>
      <c r="GC255" s="14"/>
      <c r="GD255" s="14"/>
      <c r="GE255" s="14"/>
      <c r="GF255" s="14"/>
      <c r="GG255" s="14"/>
      <c r="GH255" s="14"/>
      <c r="GI255" s="14"/>
      <c r="GJ255" s="14"/>
      <c r="GK255" s="14"/>
      <c r="GL255" s="14"/>
      <c r="GM255" s="14"/>
      <c r="GN255" s="14"/>
      <c r="GO255" s="14"/>
      <c r="GP255" s="14"/>
      <c r="GQ255" s="14"/>
      <c r="GR255" s="14"/>
      <c r="GS255" s="14"/>
      <c r="GT255" s="14"/>
      <c r="GU255" s="14"/>
      <c r="GV255" s="14"/>
      <c r="GW255" s="14"/>
      <c r="GX255" s="14"/>
      <c r="GY255" s="14"/>
      <c r="GZ255" s="14"/>
      <c r="HA255" s="14"/>
      <c r="HB255" s="14"/>
      <c r="HC255" s="14"/>
      <c r="HD255" s="14"/>
      <c r="HE255" s="14"/>
      <c r="HF255" s="14"/>
      <c r="HG255" s="14"/>
      <c r="HH255" s="14"/>
      <c r="HI255" s="14"/>
      <c r="HJ255" s="14"/>
      <c r="HK255" s="14"/>
      <c r="HL255" s="14"/>
      <c r="HM255" s="14"/>
      <c r="HN255" s="14"/>
      <c r="HO255" s="14"/>
      <c r="HP255" s="14"/>
      <c r="HQ255" s="14"/>
      <c r="HR255" s="14"/>
      <c r="HS255" s="14"/>
      <c r="HT255" s="14"/>
      <c r="HU255" s="14"/>
      <c r="HV255" s="14"/>
      <c r="HW255" s="14"/>
      <c r="HX255" s="14"/>
    </row>
    <row r="256" spans="2:232" ht="15.95" customHeight="1">
      <c r="B256" s="6">
        <f t="shared" ref="B256:B280" si="43">AS256+AT256*$B$15+AU256*$B$15^2+AV256*$B$15^3+AW256*$B$15^4+AX256*$B$15^5+AY256*$B$15^6+AZ256*$B$15^7+BA256*$B$15^8+BB256*$B$15^9</f>
        <v>-732207.44102012552</v>
      </c>
      <c r="C256" s="6">
        <f t="shared" ref="C256:C271" si="44">BD256+BE256*$B$15</f>
        <v>352624.18361336004</v>
      </c>
      <c r="D256" s="6">
        <f>BO256+BP256*$B$15</f>
        <v>-5085.0841710400009</v>
      </c>
      <c r="E256" s="6">
        <f t="shared" ref="E256:E271" si="45">BZ256+CA256*$B$15</f>
        <v>156818.27116304002</v>
      </c>
      <c r="F256" s="6">
        <f>CK256+CL256*$B$15+CM256*$B$15^2+CN256*$B$15^3+CO256*$B$15^4+CP256*$B$15^5+CQ256*$B$15^6+CR256*$B$15^7+CS256*$B$15^8+CT256*$B$15^9</f>
        <v>3140296.777775446</v>
      </c>
      <c r="G256" s="6">
        <f t="shared" ref="G256:G271" si="46">CV256+CW256*$B$15</f>
        <v>53781.889979680011</v>
      </c>
      <c r="H256" s="6">
        <f t="shared" ref="H256:H271" si="47">DG256+DH256*$B$15+DI256*$B$15^2+DJ256*$B$15^3+DK256*$B$15^4+DL256*$B$15^5+DM256*$B$15^6+DN256*$B$15^7+DO256*$B$15^8+DP256*$B$15^9</f>
        <v>162.19341828864708</v>
      </c>
      <c r="I256" s="6">
        <f t="shared" ref="I256:I278" si="48">DR256+DS256*$B$15+DT256*$B$15^2+DU256*$B$15^3+DV256*$B$15^4+DW256*$B$15^5+DX256*$B$15^6+DY256*$B$15^7+DZ256*$B$15^8+EA256*$B$15^9</f>
        <v>172.1944437777619</v>
      </c>
      <c r="N256" s="2">
        <v>44</v>
      </c>
      <c r="O256" s="2" t="s">
        <v>61</v>
      </c>
      <c r="P256" s="4">
        <v>101.07</v>
      </c>
      <c r="Q256" s="26">
        <f>I36</f>
        <v>0</v>
      </c>
      <c r="R256" s="6">
        <f>IF($B$15&lt;2.835062,B256,IF($B$15&lt;2.852089,C256,IF($B$15&lt;2.963933,D256,IF($B$15&lt;2.981735,E256,IF($B$15&lt;3.220776,F256,IF($B$15&lt;3.24012,G256,IF($B$15&lt;7.902609,H256,IF($B$15&lt;20.2,I256))))))))</f>
        <v>172.1944437777619</v>
      </c>
      <c r="S256" s="6">
        <f t="shared" ref="S256:S295" si="49">$B$22*$Q256*$P256</f>
        <v>0</v>
      </c>
      <c r="T256" s="6" t="e">
        <f t="shared" ref="T256:T295" si="50">S256/$S$296*100</f>
        <v>#DIV/0!</v>
      </c>
      <c r="U256" s="6" t="e">
        <f t="shared" ref="U256" si="51">T256/100*R256</f>
        <v>#DIV/0!</v>
      </c>
      <c r="V256" s="49" t="s">
        <v>188</v>
      </c>
      <c r="W256" s="3"/>
      <c r="X256">
        <v>0.78500000000000003</v>
      </c>
      <c r="Y256" s="3" t="e">
        <f t="shared" si="25"/>
        <v>#DIV/0!</v>
      </c>
      <c r="Z256" s="36" t="e">
        <f t="shared" si="16"/>
        <v>#DIV/0!</v>
      </c>
      <c r="AA256" s="3" t="e">
        <f t="shared" si="36"/>
        <v>#DIV/0!</v>
      </c>
      <c r="AB256" s="36" t="e">
        <f t="shared" si="8"/>
        <v>#DIV/0!</v>
      </c>
      <c r="AC256" s="3" t="e">
        <f t="shared" si="9"/>
        <v>#DIV/0!</v>
      </c>
      <c r="AD256" s="36" t="e">
        <f t="shared" si="10"/>
        <v>#DIV/0!</v>
      </c>
      <c r="AE256" s="36" t="e">
        <f t="shared" si="39"/>
        <v>#DIV/0!</v>
      </c>
      <c r="AF256" s="36" t="e">
        <f t="shared" si="37"/>
        <v>#DIV/0!</v>
      </c>
      <c r="AG256" s="3" t="e">
        <f t="shared" si="38"/>
        <v>#DIV/0!</v>
      </c>
      <c r="AH256" s="36" t="e">
        <f t="shared" si="12"/>
        <v>#DIV/0!</v>
      </c>
      <c r="AI256" s="36" t="e">
        <f t="shared" si="17"/>
        <v>#DIV/0!</v>
      </c>
      <c r="AJ256" s="3" t="e">
        <f t="shared" si="13"/>
        <v>#DIV/0!</v>
      </c>
      <c r="AK256" s="36" t="e">
        <f t="shared" si="14"/>
        <v>#DIV/0!</v>
      </c>
      <c r="AL256" s="36" t="e">
        <f t="shared" si="40"/>
        <v>#DIV/0!</v>
      </c>
      <c r="AM256" s="36" t="e">
        <f t="shared" si="18"/>
        <v>#DIV/0!</v>
      </c>
      <c r="AP256" s="32">
        <v>44</v>
      </c>
      <c r="AQ256" s="1" t="s">
        <v>61</v>
      </c>
      <c r="AR256"/>
      <c r="AS256" s="5">
        <v>28959.925589999999</v>
      </c>
      <c r="AT256" s="5">
        <v>-46439.869890000002</v>
      </c>
      <c r="AU256" s="5">
        <v>32093.762569999999</v>
      </c>
      <c r="AV256" s="5">
        <v>-11542.46601</v>
      </c>
      <c r="AW256" s="5">
        <v>2125.7699200000002</v>
      </c>
      <c r="AX256" s="5">
        <v>-158.97322</v>
      </c>
      <c r="AY256" s="5"/>
      <c r="AZ256" s="5"/>
      <c r="BA256" s="5"/>
      <c r="BB256" s="5"/>
      <c r="BC256" s="5" t="s">
        <v>128</v>
      </c>
      <c r="BD256" s="5">
        <v>-191077.84257000001</v>
      </c>
      <c r="BE256" s="5">
        <v>67557.408819999997</v>
      </c>
      <c r="BF256" s="5"/>
      <c r="BG256" s="5"/>
      <c r="BH256" s="5"/>
      <c r="BN256" s="5" t="s">
        <v>128</v>
      </c>
      <c r="BO256">
        <v>5269.9271799999997</v>
      </c>
      <c r="BP256">
        <v>-1286.6564800000001</v>
      </c>
      <c r="BY256" s="5" t="s">
        <v>128</v>
      </c>
      <c r="BZ256">
        <v>-89115.444159999999</v>
      </c>
      <c r="CA256">
        <v>30558.364229999999</v>
      </c>
      <c r="CK256">
        <v>-780200.21114999999</v>
      </c>
      <c r="CL256">
        <v>758248.87647999998</v>
      </c>
      <c r="CM256">
        <v>-244378.37364000001</v>
      </c>
      <c r="CN256">
        <v>26179.397929999999</v>
      </c>
      <c r="CU256" s="5" t="s">
        <v>128</v>
      </c>
      <c r="CV256">
        <v>-33255</v>
      </c>
      <c r="CW256">
        <v>10814.72291</v>
      </c>
      <c r="DG256">
        <v>22007.205119999999</v>
      </c>
      <c r="DH256">
        <v>-15688.40251</v>
      </c>
      <c r="DI256">
        <v>4809.6044400000001</v>
      </c>
      <c r="DJ256">
        <v>-763.58884999999998</v>
      </c>
      <c r="DK256">
        <v>61.587350000000001</v>
      </c>
      <c r="DL256">
        <v>-1.9974000000000001</v>
      </c>
      <c r="DR256" s="46">
        <v>2195.2928700000002</v>
      </c>
      <c r="DS256" s="46">
        <v>-611.89232000000004</v>
      </c>
      <c r="DT256" s="46">
        <v>72.160570000000007</v>
      </c>
      <c r="DU256" s="46">
        <v>-4.3729300000000002</v>
      </c>
      <c r="DV256" s="46">
        <v>0.13422000000000001</v>
      </c>
      <c r="DW256" s="46">
        <v>-1.66E-3</v>
      </c>
    </row>
    <row r="257" spans="2:127" ht="15.95" customHeight="1">
      <c r="B257" s="6">
        <f t="shared" si="43"/>
        <v>449538.72392666736</v>
      </c>
      <c r="C257" s="6">
        <f t="shared" si="44"/>
        <v>292499.46090935997</v>
      </c>
      <c r="D257" s="6">
        <f>BO257+BP257*$B$15</f>
        <v>-3971.3406924799992</v>
      </c>
      <c r="E257" s="6">
        <f t="shared" si="45"/>
        <v>125542.39286959999</v>
      </c>
      <c r="F257" s="6">
        <f>CK257+CL257*$B$15</f>
        <v>-4418.5642738400002</v>
      </c>
      <c r="G257" s="6">
        <f t="shared" si="46"/>
        <v>46667.700550719994</v>
      </c>
      <c r="H257" s="6">
        <f t="shared" si="47"/>
        <v>182.2172394718873</v>
      </c>
      <c r="I257" s="6">
        <f t="shared" si="48"/>
        <v>184.93419976437582</v>
      </c>
      <c r="N257" s="2">
        <v>45</v>
      </c>
      <c r="O257" s="2" t="s">
        <v>62</v>
      </c>
      <c r="P257" s="4">
        <v>102.9055</v>
      </c>
      <c r="Q257" s="26">
        <f>J36</f>
        <v>0</v>
      </c>
      <c r="R257" s="6">
        <f>IF($B$15&lt;3.0008,B257,IF($B$15&lt;3.018819,C257,IF($B$15&lt;3.142954,D257,IF($B$15&lt;3.161831,E257,IF($B$15&lt;3.408488,F257,IF($B$15&lt;3.42896,G257,IF($B$15&lt;7.902609,H257,IF($B$15&lt;20.2,I257))))))))</f>
        <v>184.93419976437582</v>
      </c>
      <c r="S257" s="6">
        <f t="shared" si="49"/>
        <v>0</v>
      </c>
      <c r="T257" s="6" t="e">
        <f t="shared" si="50"/>
        <v>#DIV/0!</v>
      </c>
      <c r="U257" s="6" t="e">
        <f t="shared" ref="U257" si="52">T257/100*R257</f>
        <v>#DIV/0!</v>
      </c>
      <c r="V257" s="49" t="s">
        <v>188</v>
      </c>
      <c r="W257" s="3"/>
      <c r="X257">
        <v>0.78</v>
      </c>
      <c r="Y257" s="3" t="e">
        <f t="shared" si="25"/>
        <v>#DIV/0!</v>
      </c>
      <c r="Z257" s="36" t="e">
        <f t="shared" si="16"/>
        <v>#DIV/0!</v>
      </c>
      <c r="AA257" s="3" t="e">
        <f t="shared" si="36"/>
        <v>#DIV/0!</v>
      </c>
      <c r="AB257" s="36" t="e">
        <f t="shared" si="8"/>
        <v>#DIV/0!</v>
      </c>
      <c r="AC257" s="3" t="e">
        <f t="shared" si="9"/>
        <v>#DIV/0!</v>
      </c>
      <c r="AD257" s="36" t="e">
        <f t="shared" si="10"/>
        <v>#DIV/0!</v>
      </c>
      <c r="AE257" s="36" t="e">
        <f t="shared" si="39"/>
        <v>#DIV/0!</v>
      </c>
      <c r="AF257" s="36" t="e">
        <f t="shared" si="37"/>
        <v>#DIV/0!</v>
      </c>
      <c r="AG257" s="3" t="e">
        <f t="shared" si="38"/>
        <v>#DIV/0!</v>
      </c>
      <c r="AH257" s="36" t="e">
        <f t="shared" si="12"/>
        <v>#DIV/0!</v>
      </c>
      <c r="AI257" s="36" t="e">
        <f t="shared" si="17"/>
        <v>#DIV/0!</v>
      </c>
      <c r="AJ257" s="3" t="e">
        <f t="shared" si="13"/>
        <v>#DIV/0!</v>
      </c>
      <c r="AK257" s="36" t="e">
        <f t="shared" si="14"/>
        <v>#DIV/0!</v>
      </c>
      <c r="AL257" s="36" t="e">
        <f t="shared" si="40"/>
        <v>#DIV/0!</v>
      </c>
      <c r="AM257" s="36" t="e">
        <f t="shared" si="18"/>
        <v>#DIV/0!</v>
      </c>
      <c r="AP257" s="32">
        <v>45</v>
      </c>
      <c r="AQ257" s="1" t="s">
        <v>62</v>
      </c>
      <c r="AR257"/>
      <c r="AS257" s="5">
        <v>7756.3394900000003</v>
      </c>
      <c r="AT257" s="5">
        <v>-2523.1903900000002</v>
      </c>
      <c r="AU257" s="5">
        <v>-3684.57323</v>
      </c>
      <c r="AV257" s="5">
        <v>2887.6494699999998</v>
      </c>
      <c r="AW257" s="5">
        <v>-763.14117999999996</v>
      </c>
      <c r="AX257" s="5">
        <v>70.995509999999996</v>
      </c>
      <c r="AY257" s="5"/>
      <c r="AZ257" s="5"/>
      <c r="BA257" s="5"/>
      <c r="BB257" s="5"/>
      <c r="BC257" s="5" t="s">
        <v>128</v>
      </c>
      <c r="BD257" s="5">
        <v>-173219.98642999999</v>
      </c>
      <c r="BE257" s="5">
        <v>57867.724569999998</v>
      </c>
      <c r="BF257" s="5"/>
      <c r="BG257" s="5"/>
      <c r="BH257" s="5"/>
      <c r="BN257" s="5" t="s">
        <v>128</v>
      </c>
      <c r="BO257">
        <v>4737.6536999999998</v>
      </c>
      <c r="BP257">
        <v>-1082.1315099999999</v>
      </c>
      <c r="BY257" s="5" t="s">
        <v>128</v>
      </c>
      <c r="BZ257">
        <v>-78247.616099999999</v>
      </c>
      <c r="CA257">
        <v>25321.820199999998</v>
      </c>
      <c r="CJ257" s="5" t="s">
        <v>128</v>
      </c>
      <c r="CK257">
        <v>5844.6383100000003</v>
      </c>
      <c r="CL257">
        <v>-1275.24883</v>
      </c>
      <c r="CU257" s="5" t="s">
        <v>128</v>
      </c>
      <c r="CV257">
        <v>-31681.57648</v>
      </c>
      <c r="CW257">
        <v>9735.2481399999997</v>
      </c>
      <c r="DG257">
        <v>22026.18866</v>
      </c>
      <c r="DH257">
        <v>-14779.22748</v>
      </c>
      <c r="DI257">
        <v>4231.2161500000002</v>
      </c>
      <c r="DJ257">
        <v>-625.74914999999999</v>
      </c>
      <c r="DK257">
        <v>47.05921</v>
      </c>
      <c r="DL257">
        <v>-1.42746</v>
      </c>
      <c r="DR257" s="46">
        <v>2335.9709699999999</v>
      </c>
      <c r="DS257" s="46">
        <v>-648.16737000000001</v>
      </c>
      <c r="DT257" s="46">
        <v>76.052869999999999</v>
      </c>
      <c r="DU257" s="46">
        <v>-4.5836899999999998</v>
      </c>
      <c r="DV257" s="46">
        <v>0.13988999999999999</v>
      </c>
      <c r="DW257" s="46">
        <v>-1.72E-3</v>
      </c>
    </row>
    <row r="258" spans="2:127" ht="15.95" customHeight="1">
      <c r="B258" s="6">
        <f t="shared" si="43"/>
        <v>-86318.625977452728</v>
      </c>
      <c r="C258" s="6">
        <f t="shared" si="44"/>
        <v>225537.13466472004</v>
      </c>
      <c r="D258" s="6">
        <f>BO258+BP258*$B$15</f>
        <v>-911.46115576000011</v>
      </c>
      <c r="E258" s="6">
        <f t="shared" si="45"/>
        <v>97890.085178319991</v>
      </c>
      <c r="F258" s="6">
        <f>CK258+CL258*$B$15+CM258*$B$15^2+CN258*$B$15^3+CO258*$B$15^4+CP258*$B$15^5+CQ258*$B$15^6+CR258*$B$15^7+CS258*$B$15^8+CT258*$B$15^9</f>
        <v>-73737.991739241173</v>
      </c>
      <c r="G258" s="6">
        <f t="shared" si="46"/>
        <v>38800.23773352</v>
      </c>
      <c r="H258" s="6">
        <f t="shared" si="47"/>
        <v>194.964905349334</v>
      </c>
      <c r="I258" s="6">
        <f t="shared" si="48"/>
        <v>195.30116455451866</v>
      </c>
      <c r="N258" s="2">
        <v>46</v>
      </c>
      <c r="O258" s="2" t="s">
        <v>63</v>
      </c>
      <c r="P258" s="4">
        <v>106.42</v>
      </c>
      <c r="Q258" s="26">
        <f>K36</f>
        <v>0</v>
      </c>
      <c r="R258" s="6">
        <f>IF($B$15&lt;3.170127,B258,IF($B$15&lt;3.189167,C258,IF($B$15&lt;3.32697,D258,IF($B$15&lt;3.346952,E258,IF($B$15&lt;3.6007,F258,IF($B$15&lt;3.622322,G258,IF($B$15&lt;7.902609,H258,IF($B$15&lt;20.2,I258))))))))</f>
        <v>195.30116455451866</v>
      </c>
      <c r="S258" s="6">
        <f t="shared" si="49"/>
        <v>0</v>
      </c>
      <c r="T258" s="6" t="e">
        <f t="shared" si="50"/>
        <v>#DIV/0!</v>
      </c>
      <c r="U258" s="6" t="e">
        <f t="shared" ref="U258" si="53">T258/100*R258</f>
        <v>#DIV/0!</v>
      </c>
      <c r="V258" s="49" t="s">
        <v>188</v>
      </c>
      <c r="W258" s="3"/>
      <c r="X258">
        <v>0.77500000000000002</v>
      </c>
      <c r="Y258" s="3" t="e">
        <f t="shared" si="25"/>
        <v>#DIV/0!</v>
      </c>
      <c r="Z258" s="36" t="e">
        <f t="shared" si="16"/>
        <v>#DIV/0!</v>
      </c>
      <c r="AA258" s="3" t="e">
        <f t="shared" si="36"/>
        <v>#DIV/0!</v>
      </c>
      <c r="AB258" s="36" t="e">
        <f t="shared" si="8"/>
        <v>#DIV/0!</v>
      </c>
      <c r="AC258" s="3" t="e">
        <f t="shared" si="9"/>
        <v>#DIV/0!</v>
      </c>
      <c r="AD258" s="36" t="e">
        <f t="shared" si="10"/>
        <v>#DIV/0!</v>
      </c>
      <c r="AE258" s="36" t="e">
        <f t="shared" si="39"/>
        <v>#DIV/0!</v>
      </c>
      <c r="AF258" s="36" t="e">
        <f t="shared" si="37"/>
        <v>#DIV/0!</v>
      </c>
      <c r="AG258" s="3" t="e">
        <f t="shared" si="38"/>
        <v>#DIV/0!</v>
      </c>
      <c r="AH258" s="36" t="e">
        <f t="shared" si="12"/>
        <v>#DIV/0!</v>
      </c>
      <c r="AI258" s="36" t="e">
        <f t="shared" si="17"/>
        <v>#DIV/0!</v>
      </c>
      <c r="AJ258" s="3" t="e">
        <f t="shared" si="13"/>
        <v>#DIV/0!</v>
      </c>
      <c r="AK258" s="36" t="e">
        <f t="shared" si="14"/>
        <v>#DIV/0!</v>
      </c>
      <c r="AL258" s="36" t="e">
        <f t="shared" si="40"/>
        <v>#DIV/0!</v>
      </c>
      <c r="AM258" s="36" t="e">
        <f t="shared" si="18"/>
        <v>#DIV/0!</v>
      </c>
      <c r="AP258" s="32">
        <v>46</v>
      </c>
      <c r="AQ258" s="1" t="s">
        <v>63</v>
      </c>
      <c r="AR258"/>
      <c r="AS258" s="5">
        <v>13944.708850000001</v>
      </c>
      <c r="AT258" s="5">
        <v>-15781.706620000001</v>
      </c>
      <c r="AU258" s="5">
        <v>7849.4801399999997</v>
      </c>
      <c r="AV258" s="5">
        <v>-2109.0585299999998</v>
      </c>
      <c r="AW258" s="5">
        <v>309.21938</v>
      </c>
      <c r="AX258" s="5">
        <v>-20.125879999999999</v>
      </c>
      <c r="AY258" s="5"/>
      <c r="AZ258" s="5"/>
      <c r="BA258" s="5"/>
      <c r="BB258" s="5"/>
      <c r="BC258" s="5" t="s">
        <v>128</v>
      </c>
      <c r="BD258" s="5">
        <v>-145926.25185</v>
      </c>
      <c r="BE258" s="5">
        <v>46155.987390000002</v>
      </c>
      <c r="BF258" s="5"/>
      <c r="BG258" s="5"/>
      <c r="BH258" s="5"/>
      <c r="BN258" s="5" t="s">
        <v>128</v>
      </c>
      <c r="BO258">
        <v>2705.8140100000001</v>
      </c>
      <c r="BP258">
        <v>-449.46262000000002</v>
      </c>
      <c r="BY258" s="5" t="s">
        <v>128</v>
      </c>
      <c r="BZ258">
        <v>-66920.324210000006</v>
      </c>
      <c r="CA258">
        <v>20478.43059</v>
      </c>
      <c r="CK258">
        <v>28067.098880000001</v>
      </c>
      <c r="CL258">
        <v>-22425.66488</v>
      </c>
      <c r="CM258">
        <v>6564.0797300000004</v>
      </c>
      <c r="CN258">
        <v>-664.68403000000001</v>
      </c>
      <c r="CU258" s="5" t="s">
        <v>128</v>
      </c>
      <c r="CV258">
        <v>-28892.872429999999</v>
      </c>
      <c r="CW258">
        <v>8411.1717399999998</v>
      </c>
      <c r="DG258">
        <v>22328.367399999999</v>
      </c>
      <c r="DH258">
        <v>-14434.11501</v>
      </c>
      <c r="DI258">
        <v>3948.5034500000002</v>
      </c>
      <c r="DJ258">
        <v>-554.80942000000005</v>
      </c>
      <c r="DK258">
        <v>39.50065</v>
      </c>
      <c r="DL258">
        <v>-1.13201</v>
      </c>
      <c r="DR258" s="46">
        <v>2451.5424600000001</v>
      </c>
      <c r="DS258" s="46">
        <v>-678.13989000000004</v>
      </c>
      <c r="DT258" s="46">
        <v>79.28989</v>
      </c>
      <c r="DU258" s="46">
        <v>-4.7606900000000003</v>
      </c>
      <c r="DV258" s="46">
        <v>0.14473</v>
      </c>
      <c r="DW258" s="46">
        <v>-1.7700000000000001E-3</v>
      </c>
    </row>
    <row r="259" spans="2:127" ht="15.95" customHeight="1">
      <c r="B259" s="6">
        <f t="shared" si="43"/>
        <v>-171295.28951534303</v>
      </c>
      <c r="C259" s="6">
        <f t="shared" si="44"/>
        <v>197329.69919871999</v>
      </c>
      <c r="D259" s="6">
        <f>BO259+BP259*$B$15</f>
        <v>-1602.3310279200005</v>
      </c>
      <c r="E259" s="6">
        <f t="shared" si="45"/>
        <v>84149.809038319974</v>
      </c>
      <c r="F259" s="6">
        <f>CK259+CL259*$B$15</f>
        <v>-2414.3643595200001</v>
      </c>
      <c r="G259" s="6">
        <f t="shared" si="46"/>
        <v>32834.209248320003</v>
      </c>
      <c r="H259" s="6">
        <f t="shared" si="47"/>
        <v>209.34810509382442</v>
      </c>
      <c r="I259" s="6">
        <f t="shared" si="48"/>
        <v>209.85342895928477</v>
      </c>
      <c r="N259" s="2">
        <v>47</v>
      </c>
      <c r="O259" s="2" t="s">
        <v>64</v>
      </c>
      <c r="P259" s="4">
        <v>107.8682</v>
      </c>
      <c r="Q259" s="26">
        <f>L36</f>
        <v>0</v>
      </c>
      <c r="R259" s="6">
        <f>IF($B$15&lt;3.34775,B259,IF($B$15&lt;3.367855,C259,IF($B$15&lt;3.520176,D259,IF($B$15&lt;3.541318,E259,IF($B$15&lt;3.801994,F259,IF($B$15&lt;3.824829,G259,IF($B$15&lt;7.902609,H259,IF($B$15&lt;20.2,I259))))))))</f>
        <v>209.85342895928477</v>
      </c>
      <c r="S259" s="6">
        <f t="shared" si="49"/>
        <v>0</v>
      </c>
      <c r="T259" s="6" t="e">
        <f t="shared" si="50"/>
        <v>#DIV/0!</v>
      </c>
      <c r="U259" s="6" t="e">
        <f t="shared" ref="U259" si="54">T259/100*R259</f>
        <v>#DIV/0!</v>
      </c>
      <c r="V259" s="49" t="s">
        <v>188</v>
      </c>
      <c r="W259" s="3"/>
      <c r="X259">
        <v>0.77</v>
      </c>
      <c r="Y259" s="3" t="e">
        <f t="shared" si="25"/>
        <v>#DIV/0!</v>
      </c>
      <c r="Z259" s="36" t="e">
        <f t="shared" si="16"/>
        <v>#DIV/0!</v>
      </c>
      <c r="AA259" s="3" t="e">
        <f t="shared" si="36"/>
        <v>#DIV/0!</v>
      </c>
      <c r="AB259" s="36" t="e">
        <f t="shared" si="8"/>
        <v>#DIV/0!</v>
      </c>
      <c r="AC259" s="3" t="e">
        <f t="shared" si="9"/>
        <v>#DIV/0!</v>
      </c>
      <c r="AD259" s="36" t="e">
        <f t="shared" si="10"/>
        <v>#DIV/0!</v>
      </c>
      <c r="AE259" s="36" t="e">
        <f t="shared" si="39"/>
        <v>#DIV/0!</v>
      </c>
      <c r="AF259" s="36" t="e">
        <f t="shared" si="37"/>
        <v>#DIV/0!</v>
      </c>
      <c r="AG259" s="3" t="e">
        <f t="shared" si="38"/>
        <v>#DIV/0!</v>
      </c>
      <c r="AH259" s="36" t="e">
        <f t="shared" si="12"/>
        <v>#DIV/0!</v>
      </c>
      <c r="AI259" s="36" t="e">
        <f t="shared" si="17"/>
        <v>#DIV/0!</v>
      </c>
      <c r="AJ259" s="3" t="e">
        <f t="shared" si="13"/>
        <v>#DIV/0!</v>
      </c>
      <c r="AK259" s="36" t="e">
        <f t="shared" si="14"/>
        <v>#DIV/0!</v>
      </c>
      <c r="AL259" s="36" t="e">
        <f t="shared" si="40"/>
        <v>#DIV/0!</v>
      </c>
      <c r="AM259" s="36" t="e">
        <f t="shared" si="18"/>
        <v>#DIV/0!</v>
      </c>
      <c r="AP259" s="32">
        <v>47</v>
      </c>
      <c r="AQ259" s="1" t="s">
        <v>64</v>
      </c>
      <c r="AR259"/>
      <c r="AS259" s="5">
        <v>21503.032159999999</v>
      </c>
      <c r="AT259" s="5">
        <v>-28696.341199999999</v>
      </c>
      <c r="AU259" s="5">
        <v>16725.974569999998</v>
      </c>
      <c r="AV259" s="5">
        <v>-5124.9611500000001</v>
      </c>
      <c r="AW259" s="5">
        <v>811.23290999999995</v>
      </c>
      <c r="AX259" s="5">
        <v>-52.631100000000004</v>
      </c>
      <c r="AY259" s="5"/>
      <c r="AZ259" s="5"/>
      <c r="BA259" s="5"/>
      <c r="BB259" s="5"/>
      <c r="BC259" s="5" t="s">
        <v>128</v>
      </c>
      <c r="BD259" s="5">
        <v>-139916.96544</v>
      </c>
      <c r="BE259" s="5">
        <v>41904.406640000001</v>
      </c>
      <c r="BF259" s="5"/>
      <c r="BG259" s="5"/>
      <c r="BH259" s="5"/>
      <c r="BN259" s="5" t="s">
        <v>128</v>
      </c>
      <c r="BO259">
        <v>3234.2215299999998</v>
      </c>
      <c r="BP259">
        <v>-600.96329000000003</v>
      </c>
      <c r="BY259" s="5" t="s">
        <v>128</v>
      </c>
      <c r="BZ259">
        <v>-63433.655149999999</v>
      </c>
      <c r="CA259">
        <v>18337.905589999998</v>
      </c>
      <c r="CJ259" s="5" t="s">
        <v>128</v>
      </c>
      <c r="CK259">
        <v>4587.4659799999999</v>
      </c>
      <c r="CL259">
        <v>-870.00873999999999</v>
      </c>
      <c r="CU259" s="5" t="s">
        <v>128</v>
      </c>
      <c r="CV259">
        <v>-26975.101040000001</v>
      </c>
      <c r="CW259">
        <v>7431.5743400000001</v>
      </c>
      <c r="DG259">
        <v>20427.267589999999</v>
      </c>
      <c r="DH259">
        <v>-12656.707839999999</v>
      </c>
      <c r="DI259">
        <v>3343.9518200000002</v>
      </c>
      <c r="DJ259">
        <v>-456.78192000000001</v>
      </c>
      <c r="DK259">
        <v>31.796430000000001</v>
      </c>
      <c r="DL259">
        <v>-0.89537</v>
      </c>
      <c r="DR259" s="46">
        <v>2626.5826699999998</v>
      </c>
      <c r="DS259" s="46">
        <v>-725.48689000000002</v>
      </c>
      <c r="DT259" s="46">
        <v>84.684920000000005</v>
      </c>
      <c r="DU259" s="46">
        <v>-5.0760500000000004</v>
      </c>
      <c r="DV259" s="46">
        <v>0.15407999999999999</v>
      </c>
      <c r="DW259" s="46">
        <v>-1.8799999999999999E-3</v>
      </c>
    </row>
    <row r="260" spans="2:127" ht="15.95" customHeight="1">
      <c r="B260" s="6">
        <f t="shared" si="43"/>
        <v>-99884.109509161208</v>
      </c>
      <c r="C260" s="6">
        <f t="shared" si="44"/>
        <v>246717.46061215998</v>
      </c>
      <c r="D260" s="6">
        <f>BO260+BP260*$B$15</f>
        <v>-2000.7416240799998</v>
      </c>
      <c r="E260" s="6">
        <f t="shared" si="45"/>
        <v>70221.11878176</v>
      </c>
      <c r="F260" s="6">
        <f>CK260+CL260*$B$15</f>
        <v>-2132.6635944000009</v>
      </c>
      <c r="G260" s="6">
        <f t="shared" si="46"/>
        <v>26862.589056960001</v>
      </c>
      <c r="H260" s="6">
        <f t="shared" si="47"/>
        <v>217.85034132215151</v>
      </c>
      <c r="I260" s="6">
        <f t="shared" si="48"/>
        <v>218.69439103230877</v>
      </c>
      <c r="N260" s="2">
        <v>48</v>
      </c>
      <c r="O260" s="2" t="s">
        <v>39</v>
      </c>
      <c r="P260" s="4">
        <v>112.41</v>
      </c>
      <c r="Q260" s="26">
        <f>M36</f>
        <v>0</v>
      </c>
      <c r="R260" s="6">
        <f>IF($B$15&lt;3.533962,B260,IF($B$15&lt;3.548445,C260,IF($B$15&lt;3.723273,D260,IF($B$15&lt;3.745635,E260,IF($B$15&lt;4.013982,F260,IF($B$15&lt;4.03809,G260,IF($B$15&lt;7.902609,H260,IF($B$15&lt;20.2,I260))))))))</f>
        <v>218.69439103230877</v>
      </c>
      <c r="S260" s="6">
        <f t="shared" si="49"/>
        <v>0</v>
      </c>
      <c r="T260" s="6" t="e">
        <f t="shared" si="50"/>
        <v>#DIV/0!</v>
      </c>
      <c r="U260" s="6" t="e">
        <f>T260/100*R260</f>
        <v>#DIV/0!</v>
      </c>
      <c r="V260" s="49" t="s">
        <v>188</v>
      </c>
      <c r="W260" s="3"/>
      <c r="X260">
        <v>0.76500000000000001</v>
      </c>
      <c r="Y260" s="3" t="e">
        <f t="shared" si="25"/>
        <v>#DIV/0!</v>
      </c>
      <c r="Z260" s="36" t="e">
        <f t="shared" si="16"/>
        <v>#DIV/0!</v>
      </c>
      <c r="AA260" s="3" t="e">
        <f t="shared" si="36"/>
        <v>#DIV/0!</v>
      </c>
      <c r="AB260" s="36" t="e">
        <f t="shared" si="8"/>
        <v>#DIV/0!</v>
      </c>
      <c r="AC260" s="3" t="e">
        <f t="shared" si="9"/>
        <v>#DIV/0!</v>
      </c>
      <c r="AD260" s="36" t="e">
        <f t="shared" si="10"/>
        <v>#DIV/0!</v>
      </c>
      <c r="AE260" s="36" t="e">
        <f t="shared" si="39"/>
        <v>#DIV/0!</v>
      </c>
      <c r="AF260" s="36" t="e">
        <f t="shared" si="37"/>
        <v>#DIV/0!</v>
      </c>
      <c r="AG260" s="3" t="e">
        <f t="shared" si="38"/>
        <v>#DIV/0!</v>
      </c>
      <c r="AH260" s="36" t="e">
        <f t="shared" si="12"/>
        <v>#DIV/0!</v>
      </c>
      <c r="AI260" s="36" t="e">
        <f t="shared" si="17"/>
        <v>#DIV/0!</v>
      </c>
      <c r="AJ260" s="3" t="e">
        <f t="shared" si="13"/>
        <v>#DIV/0!</v>
      </c>
      <c r="AK260" s="36" t="e">
        <f t="shared" si="14"/>
        <v>#DIV/0!</v>
      </c>
      <c r="AL260" s="36" t="e">
        <f t="shared" si="40"/>
        <v>#DIV/0!</v>
      </c>
      <c r="AM260" s="36" t="e">
        <f t="shared" si="18"/>
        <v>#DIV/0!</v>
      </c>
      <c r="AP260" s="32">
        <v>48</v>
      </c>
      <c r="AQ260" s="1" t="s">
        <v>39</v>
      </c>
      <c r="AR260"/>
      <c r="AS260" s="5">
        <v>23799.680380000002</v>
      </c>
      <c r="AT260" s="5">
        <v>-31505.000810000001</v>
      </c>
      <c r="AU260" s="5">
        <v>17873.069650000001</v>
      </c>
      <c r="AV260" s="5">
        <v>-5224.4044000000004</v>
      </c>
      <c r="AW260" s="5">
        <v>772.24042999999995</v>
      </c>
      <c r="AX260" s="5">
        <v>-45.734810000000003</v>
      </c>
      <c r="AY260" s="5"/>
      <c r="AZ260" s="5"/>
      <c r="BA260" s="5"/>
      <c r="BB260" s="5"/>
      <c r="BD260" s="5">
        <v>-192552.30394000001</v>
      </c>
      <c r="BE260" s="5">
        <v>54581.23317</v>
      </c>
      <c r="BF260" s="5"/>
      <c r="BG260" s="5"/>
      <c r="BH260" s="5"/>
      <c r="BN260" s="5" t="s">
        <v>128</v>
      </c>
      <c r="BO260">
        <v>3590.6120900000001</v>
      </c>
      <c r="BP260">
        <v>-694.75071000000003</v>
      </c>
      <c r="BY260" s="5" t="s">
        <v>128</v>
      </c>
      <c r="BZ260">
        <v>-58585.75</v>
      </c>
      <c r="CA260">
        <v>16004.82962</v>
      </c>
      <c r="CJ260" s="5" t="s">
        <v>128</v>
      </c>
      <c r="CK260">
        <v>4401.0573199999999</v>
      </c>
      <c r="CL260">
        <v>-811.84405000000004</v>
      </c>
      <c r="CU260" s="5" t="s">
        <v>128</v>
      </c>
      <c r="CV260">
        <v>-24447.25</v>
      </c>
      <c r="CW260">
        <v>6375.4770200000003</v>
      </c>
      <c r="DG260">
        <v>19087.985619999999</v>
      </c>
      <c r="DH260">
        <v>-11623.381600000001</v>
      </c>
      <c r="DI260">
        <v>3050.9421299999999</v>
      </c>
      <c r="DJ260">
        <v>-417.83744999999999</v>
      </c>
      <c r="DK260">
        <v>29.38044</v>
      </c>
      <c r="DL260">
        <v>-0.84072999999999998</v>
      </c>
      <c r="DR260" s="46">
        <v>2735.61789</v>
      </c>
      <c r="DS260" s="46">
        <v>-755.12419999999997</v>
      </c>
      <c r="DT260" s="46">
        <v>88.092380000000006</v>
      </c>
      <c r="DU260" s="46">
        <v>-5.2781500000000001</v>
      </c>
      <c r="DV260" s="46">
        <v>0.16020000000000001</v>
      </c>
      <c r="DW260" s="46">
        <v>-1.9599999999999999E-3</v>
      </c>
    </row>
    <row r="261" spans="2:127" ht="15.95" customHeight="1">
      <c r="B261" s="6">
        <f t="shared" si="43"/>
        <v>-109318.4687292208</v>
      </c>
      <c r="C261" s="6">
        <f t="shared" si="44"/>
        <v>145275.83529680001</v>
      </c>
      <c r="D261" s="6">
        <f t="shared" ref="D261:D271" si="55">BO261+BP261*$B$15+BQ261*$B$15^2+BR261*$B$15^3+BS261*$B$15^4+BT261*$B$15^5+BU261*$B$15^6+BV261*$B$15^7+BW261*$B$15^8+BX261*$B$15^9</f>
        <v>46597.398662583262</v>
      </c>
      <c r="E261" s="6">
        <f t="shared" si="45"/>
        <v>60023.382058720003</v>
      </c>
      <c r="F261" s="6">
        <f t="shared" ref="F261:F271" si="56">CK261+CL261*$B$15+CM261*$B$15^2+CN261*$B$15^3+CO261*$B$15^4+CP261*$B$15^5+CQ261*$B$15^6+CR261*$B$15^7+CS261*$B$15^8+CT261*$B$15^9</f>
        <v>6255.9811004611938</v>
      </c>
      <c r="G261" s="6">
        <f t="shared" si="46"/>
        <v>22377.620176800003</v>
      </c>
      <c r="H261" s="6">
        <f t="shared" si="47"/>
        <v>233.08083933131275</v>
      </c>
      <c r="I261" s="6">
        <f t="shared" si="48"/>
        <v>231.76352508590492</v>
      </c>
      <c r="N261" s="2">
        <v>49</v>
      </c>
      <c r="O261" s="2" t="s">
        <v>13</v>
      </c>
      <c r="P261" s="4">
        <v>114.818</v>
      </c>
      <c r="Q261" s="26">
        <f>N36</f>
        <v>0</v>
      </c>
      <c r="R261" s="6">
        <f>IF($B$15&lt;3.72637,B261,IF($B$15&lt;3.74875,C261,IF($B$15&lt;3.934062,D261,IF($B$15&lt;3.95769,E261,IF($B$15&lt;4.233263,F261,IF($B$15&lt;4.258688,G261,IF($B$15&lt;8.44789,H261,IF($B$15&lt;20.2,I261))))))))</f>
        <v>233.08083933131275</v>
      </c>
      <c r="S261" s="6">
        <f t="shared" si="49"/>
        <v>0</v>
      </c>
      <c r="T261" s="6" t="e">
        <f t="shared" si="50"/>
        <v>#DIV/0!</v>
      </c>
      <c r="U261" s="6" t="e">
        <f t="shared" si="24"/>
        <v>#DIV/0!</v>
      </c>
      <c r="V261" s="49" t="s">
        <v>188</v>
      </c>
      <c r="W261" s="3"/>
      <c r="X261">
        <v>0.76</v>
      </c>
      <c r="Y261" s="3" t="e">
        <f t="shared" si="25"/>
        <v>#DIV/0!</v>
      </c>
      <c r="Z261" s="36" t="e">
        <f t="shared" si="16"/>
        <v>#DIV/0!</v>
      </c>
      <c r="AA261" s="3" t="e">
        <f t="shared" si="36"/>
        <v>#DIV/0!</v>
      </c>
      <c r="AB261" s="36" t="e">
        <f t="shared" si="8"/>
        <v>#DIV/0!</v>
      </c>
      <c r="AC261" s="3" t="e">
        <f t="shared" si="9"/>
        <v>#DIV/0!</v>
      </c>
      <c r="AD261" s="36" t="e">
        <f t="shared" si="10"/>
        <v>#DIV/0!</v>
      </c>
      <c r="AE261" s="36" t="e">
        <f t="shared" si="39"/>
        <v>#DIV/0!</v>
      </c>
      <c r="AF261" s="36" t="e">
        <f t="shared" si="37"/>
        <v>#DIV/0!</v>
      </c>
      <c r="AG261" s="3" t="e">
        <f t="shared" si="38"/>
        <v>#DIV/0!</v>
      </c>
      <c r="AH261" s="36" t="e">
        <f t="shared" si="12"/>
        <v>#DIV/0!</v>
      </c>
      <c r="AI261" s="36" t="e">
        <f t="shared" si="17"/>
        <v>#DIV/0!</v>
      </c>
      <c r="AJ261" s="3" t="e">
        <f t="shared" si="13"/>
        <v>#DIV/0!</v>
      </c>
      <c r="AK261" s="36" t="e">
        <f t="shared" si="14"/>
        <v>#DIV/0!</v>
      </c>
      <c r="AL261" s="36" t="e">
        <f t="shared" si="40"/>
        <v>#DIV/0!</v>
      </c>
      <c r="AM261" s="36" t="e">
        <f t="shared" si="18"/>
        <v>#DIV/0!</v>
      </c>
      <c r="AP261" s="32">
        <v>49</v>
      </c>
      <c r="AQ261" s="1" t="s">
        <v>13</v>
      </c>
      <c r="AR261"/>
      <c r="AS261" s="5">
        <v>26724.848959999999</v>
      </c>
      <c r="AT261" s="5">
        <v>-35591.700499999999</v>
      </c>
      <c r="AU261" s="5">
        <v>20218.918160000001</v>
      </c>
      <c r="AV261" s="5">
        <v>-5899.6576699999996</v>
      </c>
      <c r="AW261" s="5">
        <v>868.77530000000002</v>
      </c>
      <c r="AX261" s="5">
        <v>-51.19652</v>
      </c>
      <c r="AY261" s="5"/>
      <c r="AZ261" s="5"/>
      <c r="BA261" s="5"/>
      <c r="BB261" s="5"/>
      <c r="BC261" s="5" t="s">
        <v>128</v>
      </c>
      <c r="BD261" s="5">
        <v>-124684.57938</v>
      </c>
      <c r="BE261" s="5">
        <v>33543.789100000002</v>
      </c>
      <c r="BF261" s="5"/>
      <c r="BG261" s="5"/>
      <c r="BH261" s="5"/>
      <c r="BO261">
        <v>-19812.837510000001</v>
      </c>
      <c r="BP261">
        <v>19632.827860000001</v>
      </c>
      <c r="BQ261">
        <v>-5789.9299099999998</v>
      </c>
      <c r="BR261">
        <v>543.71054000000004</v>
      </c>
      <c r="BY261" s="5" t="s">
        <v>128</v>
      </c>
      <c r="BZ261">
        <v>-55601.05</v>
      </c>
      <c r="CA261">
        <v>14366.85289</v>
      </c>
      <c r="CK261">
        <v>11338.56114</v>
      </c>
      <c r="CL261">
        <v>-3965.1876299999999</v>
      </c>
      <c r="CM261">
        <v>304.28715</v>
      </c>
      <c r="CN261">
        <v>13.659829999999999</v>
      </c>
      <c r="CU261" s="5" t="s">
        <v>128</v>
      </c>
      <c r="CV261">
        <v>-22634.202799999999</v>
      </c>
      <c r="CW261">
        <v>5592.9203500000003</v>
      </c>
      <c r="DG261">
        <v>17942.28701</v>
      </c>
      <c r="DH261">
        <v>-10641.809219999999</v>
      </c>
      <c r="DI261">
        <v>2735.5827899999999</v>
      </c>
      <c r="DJ261">
        <v>-367.74891000000002</v>
      </c>
      <c r="DK261">
        <v>25.378769999999999</v>
      </c>
      <c r="DL261">
        <v>-0.71143999999999996</v>
      </c>
      <c r="DR261" s="46">
        <v>2795.1857799999998</v>
      </c>
      <c r="DS261" s="46">
        <v>-761.22627</v>
      </c>
      <c r="DT261" s="46">
        <v>87.661190000000005</v>
      </c>
      <c r="DU261" s="46">
        <v>-5.1885300000000001</v>
      </c>
      <c r="DV261" s="46">
        <v>0.15570000000000001</v>
      </c>
      <c r="DW261" s="46">
        <v>-1.8799999999999999E-3</v>
      </c>
    </row>
    <row r="262" spans="2:127" ht="15.95" customHeight="1">
      <c r="B262" s="6">
        <f t="shared" si="43"/>
        <v>-106643.61157021788</v>
      </c>
      <c r="C262" s="6">
        <f t="shared" si="44"/>
        <v>120991.91581544001</v>
      </c>
      <c r="D262" s="6">
        <f t="shared" si="55"/>
        <v>61843.863786850416</v>
      </c>
      <c r="E262" s="6">
        <f t="shared" si="45"/>
        <v>49411.611046160004</v>
      </c>
      <c r="F262" s="6">
        <f t="shared" si="56"/>
        <v>7646.0262128750801</v>
      </c>
      <c r="G262" s="6">
        <f t="shared" si="46"/>
        <v>18403.225680560001</v>
      </c>
      <c r="H262" s="6">
        <f t="shared" si="47"/>
        <v>243.45312499165084</v>
      </c>
      <c r="I262" s="6">
        <f t="shared" si="48"/>
        <v>242.28185457099431</v>
      </c>
      <c r="N262" s="2">
        <v>50</v>
      </c>
      <c r="O262" s="2" t="s">
        <v>14</v>
      </c>
      <c r="P262" s="4">
        <v>118.71</v>
      </c>
      <c r="Q262" s="26">
        <f>O36</f>
        <v>0</v>
      </c>
      <c r="R262" s="6">
        <f>IF($B$15&lt;3.924871,B262,IF($B$15&lt;3.948444,C262,IF($B$15&lt;4.151944,D262,IF($B$15&lt;4.17688,E262,IF($B$15&lt;4.460236,F262,IF($B$15&lt;4.487024,G262,IF($B$15&lt;8.44789,H262,IF($B$15&lt;20.2,I262))))))))</f>
        <v>243.45312499165084</v>
      </c>
      <c r="S262" s="6">
        <f t="shared" si="49"/>
        <v>0</v>
      </c>
      <c r="T262" s="6" t="e">
        <f t="shared" si="50"/>
        <v>#DIV/0!</v>
      </c>
      <c r="U262" s="6" t="e">
        <f t="shared" ref="U262:U269" si="57">T262/100*R262</f>
        <v>#DIV/0!</v>
      </c>
      <c r="V262" s="49" t="s">
        <v>188</v>
      </c>
      <c r="W262" s="3"/>
      <c r="X262">
        <v>0.755</v>
      </c>
      <c r="Y262" s="3" t="e">
        <f t="shared" si="25"/>
        <v>#DIV/0!</v>
      </c>
      <c r="Z262" s="36" t="e">
        <f t="shared" si="16"/>
        <v>#DIV/0!</v>
      </c>
      <c r="AA262" s="3" t="e">
        <f t="shared" si="36"/>
        <v>#DIV/0!</v>
      </c>
      <c r="AB262" s="36" t="e">
        <f t="shared" si="8"/>
        <v>#DIV/0!</v>
      </c>
      <c r="AC262" s="3" t="e">
        <f t="shared" si="9"/>
        <v>#DIV/0!</v>
      </c>
      <c r="AD262" s="36" t="e">
        <f t="shared" si="10"/>
        <v>#DIV/0!</v>
      </c>
      <c r="AE262" s="36" t="e">
        <f t="shared" si="39"/>
        <v>#DIV/0!</v>
      </c>
      <c r="AF262" s="36" t="e">
        <f t="shared" si="37"/>
        <v>#DIV/0!</v>
      </c>
      <c r="AG262" s="3" t="e">
        <f t="shared" si="38"/>
        <v>#DIV/0!</v>
      </c>
      <c r="AH262" s="36" t="e">
        <f t="shared" si="12"/>
        <v>#DIV/0!</v>
      </c>
      <c r="AI262" s="36" t="e">
        <f t="shared" si="17"/>
        <v>#DIV/0!</v>
      </c>
      <c r="AJ262" s="3" t="e">
        <f t="shared" si="13"/>
        <v>#DIV/0!</v>
      </c>
      <c r="AK262" s="36" t="e">
        <f t="shared" si="14"/>
        <v>#DIV/0!</v>
      </c>
      <c r="AL262" s="36" t="e">
        <f t="shared" si="40"/>
        <v>#DIV/0!</v>
      </c>
      <c r="AM262" s="36" t="e">
        <f t="shared" si="18"/>
        <v>#DIV/0!</v>
      </c>
      <c r="AP262" s="32">
        <v>50</v>
      </c>
      <c r="AQ262" s="1" t="s">
        <v>14</v>
      </c>
      <c r="AR262"/>
      <c r="AS262" s="5">
        <v>27886.569289999999</v>
      </c>
      <c r="AT262" s="5">
        <v>-36764.039449999997</v>
      </c>
      <c r="AU262" s="5">
        <v>20664.07588</v>
      </c>
      <c r="AV262" s="5">
        <v>-5968.3497299999999</v>
      </c>
      <c r="AW262" s="5">
        <v>870.85586000000001</v>
      </c>
      <c r="AX262" s="5">
        <v>-50.924210000000002</v>
      </c>
      <c r="AY262" s="5"/>
      <c r="AZ262" s="5"/>
      <c r="BA262" s="5"/>
      <c r="BB262" s="5"/>
      <c r="BC262" s="5" t="s">
        <v>128</v>
      </c>
      <c r="BD262" s="5">
        <v>-114613.42929</v>
      </c>
      <c r="BE262" s="5">
        <v>29275.018029999999</v>
      </c>
      <c r="BF262" s="5"/>
      <c r="BG262" s="5"/>
      <c r="BH262" s="5"/>
      <c r="BO262">
        <v>-46965.475769999997</v>
      </c>
      <c r="BP262">
        <v>38805.544370000003</v>
      </c>
      <c r="BQ262">
        <v>-10230.80724</v>
      </c>
      <c r="BR262">
        <v>880.83636999999999</v>
      </c>
      <c r="BY262" s="5" t="s">
        <v>128</v>
      </c>
      <c r="BZ262">
        <v>-50936.646869999997</v>
      </c>
      <c r="CA262">
        <v>12468.71992</v>
      </c>
      <c r="CK262">
        <v>7923.9237800000001</v>
      </c>
      <c r="CL262">
        <v>-1441.1069500000001</v>
      </c>
      <c r="CM262">
        <v>-279.24873000000002</v>
      </c>
      <c r="CN262">
        <v>56.414290000000001</v>
      </c>
      <c r="CU262" s="5" t="s">
        <v>128</v>
      </c>
      <c r="CV262">
        <v>-20755.21543</v>
      </c>
      <c r="CW262">
        <v>4865.6114699999998</v>
      </c>
      <c r="DG262">
        <v>19426.449639999999</v>
      </c>
      <c r="DH262">
        <v>-11786.40381</v>
      </c>
      <c r="DI262">
        <v>3097.4257200000002</v>
      </c>
      <c r="DJ262">
        <v>-424.70756</v>
      </c>
      <c r="DK262">
        <v>29.80536</v>
      </c>
      <c r="DL262">
        <v>-0.84704000000000002</v>
      </c>
      <c r="DR262" s="46">
        <v>2877.2146499999999</v>
      </c>
      <c r="DS262" s="46">
        <v>-779.06426999999996</v>
      </c>
      <c r="DT262" s="46">
        <v>89.232590000000002</v>
      </c>
      <c r="DU262" s="46">
        <v>-5.2555399999999999</v>
      </c>
      <c r="DV262" s="46">
        <v>0.15701999999999999</v>
      </c>
      <c r="DW262" s="46">
        <v>-1.89E-3</v>
      </c>
    </row>
    <row r="263" spans="2:127" ht="15.95" customHeight="1">
      <c r="B263" s="6">
        <f t="shared" si="43"/>
        <v>1132555.5213491623</v>
      </c>
      <c r="C263" s="6">
        <f t="shared" si="44"/>
        <v>100670.61782112</v>
      </c>
      <c r="D263" s="6">
        <f t="shared" si="55"/>
        <v>67205.812466364587</v>
      </c>
      <c r="E263" s="6">
        <f t="shared" si="45"/>
        <v>40682.74508095999</v>
      </c>
      <c r="F263" s="6">
        <f t="shared" si="56"/>
        <v>7901.9206658796757</v>
      </c>
      <c r="G263" s="6">
        <f t="shared" si="46"/>
        <v>15183.72321624</v>
      </c>
      <c r="H263" s="6">
        <f t="shared" si="47"/>
        <v>254.45149547885012</v>
      </c>
      <c r="I263" s="6">
        <f t="shared" si="48"/>
        <v>255.25990067881332</v>
      </c>
      <c r="N263" s="2">
        <v>51</v>
      </c>
      <c r="O263" s="2" t="s">
        <v>65</v>
      </c>
      <c r="P263" s="4">
        <v>121.75</v>
      </c>
      <c r="Q263" s="26">
        <f>P36</f>
        <v>0</v>
      </c>
      <c r="R263" s="6">
        <f>IF($B$15&lt;4.128068,B263,IF($B$15&lt;4.15286,C263,IF($B$15&lt;4.376,D263,IF($B$15&lt;4.4023,E263,IF($B$15&lt;4.6936,F263,IF($B$15&lt;4.72179,G263,IF($B$15&lt;9.030794,H263,IF($B$15&lt;20.2,I263))))))))</f>
        <v>254.45149547885012</v>
      </c>
      <c r="S263" s="6">
        <f t="shared" si="49"/>
        <v>0</v>
      </c>
      <c r="T263" s="6" t="e">
        <f t="shared" si="50"/>
        <v>#DIV/0!</v>
      </c>
      <c r="U263" s="6" t="e">
        <f t="shared" si="57"/>
        <v>#DIV/0!</v>
      </c>
      <c r="V263" s="49" t="s">
        <v>188</v>
      </c>
      <c r="W263" s="3"/>
      <c r="X263">
        <v>0.75</v>
      </c>
      <c r="Y263" s="3" t="e">
        <f t="shared" si="25"/>
        <v>#DIV/0!</v>
      </c>
      <c r="Z263" s="36" t="e">
        <f t="shared" si="16"/>
        <v>#DIV/0!</v>
      </c>
      <c r="AA263" s="3" t="e">
        <f t="shared" si="36"/>
        <v>#DIV/0!</v>
      </c>
      <c r="AB263" s="36" t="e">
        <f t="shared" si="8"/>
        <v>#DIV/0!</v>
      </c>
      <c r="AC263" s="3" t="e">
        <f t="shared" si="9"/>
        <v>#DIV/0!</v>
      </c>
      <c r="AD263" s="36" t="e">
        <f t="shared" si="10"/>
        <v>#DIV/0!</v>
      </c>
      <c r="AE263" s="36" t="e">
        <f t="shared" si="39"/>
        <v>#DIV/0!</v>
      </c>
      <c r="AF263" s="36" t="e">
        <f t="shared" si="37"/>
        <v>#DIV/0!</v>
      </c>
      <c r="AG263" s="3" t="e">
        <f t="shared" si="38"/>
        <v>#DIV/0!</v>
      </c>
      <c r="AH263" s="36" t="e">
        <f t="shared" si="12"/>
        <v>#DIV/0!</v>
      </c>
      <c r="AI263" s="36" t="e">
        <f t="shared" si="17"/>
        <v>#DIV/0!</v>
      </c>
      <c r="AJ263" s="3" t="e">
        <f t="shared" si="13"/>
        <v>#DIV/0!</v>
      </c>
      <c r="AK263" s="36" t="e">
        <f t="shared" si="14"/>
        <v>#DIV/0!</v>
      </c>
      <c r="AL263" s="36" t="e">
        <f t="shared" si="40"/>
        <v>#DIV/0!</v>
      </c>
      <c r="AM263" s="36" t="e">
        <f t="shared" si="18"/>
        <v>#DIV/0!</v>
      </c>
      <c r="AP263" s="32">
        <v>51</v>
      </c>
      <c r="AQ263" s="1" t="s">
        <v>65</v>
      </c>
      <c r="AR263"/>
      <c r="AS263" s="5">
        <v>1498.38257</v>
      </c>
      <c r="AT263" s="5">
        <v>2634.5856100000001</v>
      </c>
      <c r="AU263" s="5">
        <v>1822.8793700000001</v>
      </c>
      <c r="AV263" s="5">
        <v>620.59992999999997</v>
      </c>
      <c r="AW263" s="5">
        <v>104.01214</v>
      </c>
      <c r="AX263" s="5">
        <v>6.8694800000000003</v>
      </c>
      <c r="AY263" s="5"/>
      <c r="AZ263" s="5"/>
      <c r="BA263" s="5"/>
      <c r="BB263" s="5"/>
      <c r="BC263" s="5" t="s">
        <v>128</v>
      </c>
      <c r="BD263" s="5">
        <v>-105465.04304</v>
      </c>
      <c r="BE263" s="5">
        <v>25613.27794</v>
      </c>
      <c r="BF263" s="5"/>
      <c r="BG263" s="5"/>
      <c r="BH263" s="5"/>
      <c r="BO263">
        <v>-77923.718789999999</v>
      </c>
      <c r="BP263">
        <v>58560.886870000002</v>
      </c>
      <c r="BQ263">
        <v>-14322.953509999999</v>
      </c>
      <c r="BR263">
        <v>1153.9738400000001</v>
      </c>
      <c r="BY263" s="5" t="s">
        <v>128</v>
      </c>
      <c r="BZ263">
        <v>-46809.628380000002</v>
      </c>
      <c r="CA263">
        <v>10871.31877</v>
      </c>
      <c r="CK263">
        <v>2221.3100599999998</v>
      </c>
      <c r="CL263">
        <v>2154.7109300000002</v>
      </c>
      <c r="CM263">
        <v>-996.59784999999999</v>
      </c>
      <c r="CN263">
        <v>101.46239</v>
      </c>
      <c r="CU263" s="5" t="s">
        <v>128</v>
      </c>
      <c r="CV263">
        <v>-19156.389630000001</v>
      </c>
      <c r="CW263">
        <v>4266.9126299999998</v>
      </c>
      <c r="DG263">
        <v>17412.529869999998</v>
      </c>
      <c r="DH263">
        <v>-9936.5036199999995</v>
      </c>
      <c r="DI263">
        <v>2456.6640299999999</v>
      </c>
      <c r="DJ263">
        <v>-316.96823999999998</v>
      </c>
      <c r="DK263">
        <v>20.934290000000001</v>
      </c>
      <c r="DL263">
        <v>-0.55993000000000004</v>
      </c>
      <c r="DR263" s="46">
        <v>3025.1311000000001</v>
      </c>
      <c r="DS263" s="46">
        <v>-818.72416999999996</v>
      </c>
      <c r="DT263" s="46">
        <v>93.759929999999997</v>
      </c>
      <c r="DU263" s="46">
        <v>-5.5230199999999998</v>
      </c>
      <c r="DV263" s="46">
        <v>0.16508</v>
      </c>
      <c r="DW263" s="46">
        <v>-1.99E-3</v>
      </c>
    </row>
    <row r="264" spans="2:127" ht="15.95" customHeight="1">
      <c r="B264" s="6">
        <f t="shared" si="43"/>
        <v>-44992.158525339677</v>
      </c>
      <c r="C264" s="6">
        <f t="shared" si="44"/>
        <v>81437.650955360004</v>
      </c>
      <c r="D264" s="6">
        <f t="shared" si="55"/>
        <v>28983.651364699821</v>
      </c>
      <c r="E264" s="6">
        <f t="shared" si="45"/>
        <v>34038.658250480003</v>
      </c>
      <c r="F264" s="6">
        <f t="shared" si="56"/>
        <v>7794.6393704777292</v>
      </c>
      <c r="G264" s="6">
        <f t="shared" si="46"/>
        <v>19023.18832048</v>
      </c>
      <c r="H264" s="6">
        <f t="shared" si="47"/>
        <v>261.67944163616994</v>
      </c>
      <c r="I264" s="6">
        <f t="shared" si="48"/>
        <v>262.20687304559181</v>
      </c>
      <c r="N264" s="2">
        <v>52</v>
      </c>
      <c r="O264" s="2" t="s">
        <v>41</v>
      </c>
      <c r="P264" s="4">
        <v>127.6</v>
      </c>
      <c r="Q264" s="26">
        <f>Q36</f>
        <v>0</v>
      </c>
      <c r="R264" s="6">
        <f>IF($B$15&lt;4.33706,B264,IF($B$15&lt;4.363107,C264,IF($B$15&lt;4.60739,D264,IF($B$15&lt;4.633924,E264,IF($B$15&lt;4.93426,F264,IF($B$15&lt;4.953664,G264,IF($B$15&lt;9.030794,H264,IF($B$15&lt;20.2,I264))))))))</f>
        <v>261.67944163616994</v>
      </c>
      <c r="S264" s="6">
        <f t="shared" si="49"/>
        <v>0</v>
      </c>
      <c r="T264" s="6" t="e">
        <f t="shared" si="50"/>
        <v>#DIV/0!</v>
      </c>
      <c r="U264" s="6" t="e">
        <f t="shared" si="57"/>
        <v>#DIV/0!</v>
      </c>
      <c r="V264" s="49" t="s">
        <v>188</v>
      </c>
      <c r="W264" s="3"/>
      <c r="X264">
        <v>0.745</v>
      </c>
      <c r="Y264" s="3" t="e">
        <f t="shared" si="25"/>
        <v>#DIV/0!</v>
      </c>
      <c r="Z264" s="36" t="e">
        <f t="shared" si="16"/>
        <v>#DIV/0!</v>
      </c>
      <c r="AA264" s="3" t="e">
        <f t="shared" si="36"/>
        <v>#DIV/0!</v>
      </c>
      <c r="AB264" s="36" t="e">
        <f t="shared" si="8"/>
        <v>#DIV/0!</v>
      </c>
      <c r="AC264" s="3" t="e">
        <f t="shared" si="9"/>
        <v>#DIV/0!</v>
      </c>
      <c r="AD264" s="36" t="e">
        <f t="shared" si="10"/>
        <v>#DIV/0!</v>
      </c>
      <c r="AE264" s="36" t="e">
        <f t="shared" si="39"/>
        <v>#DIV/0!</v>
      </c>
      <c r="AF264" s="36" t="e">
        <f t="shared" si="37"/>
        <v>#DIV/0!</v>
      </c>
      <c r="AG264" s="3" t="e">
        <f t="shared" si="38"/>
        <v>#DIV/0!</v>
      </c>
      <c r="AH264" s="36" t="e">
        <f t="shared" si="12"/>
        <v>#DIV/0!</v>
      </c>
      <c r="AI264" s="36" t="e">
        <f t="shared" si="17"/>
        <v>#DIV/0!</v>
      </c>
      <c r="AJ264" s="3" t="e">
        <f t="shared" si="13"/>
        <v>#DIV/0!</v>
      </c>
      <c r="AK264" s="36" t="e">
        <f t="shared" si="14"/>
        <v>#DIV/0!</v>
      </c>
      <c r="AL264" s="36" t="e">
        <f t="shared" si="40"/>
        <v>#DIV/0!</v>
      </c>
      <c r="AM264" s="36" t="e">
        <f t="shared" si="18"/>
        <v>#DIV/0!</v>
      </c>
      <c r="AP264" s="32">
        <v>52</v>
      </c>
      <c r="AQ264" s="1" t="s">
        <v>41</v>
      </c>
      <c r="AR264"/>
      <c r="AS264" s="5">
        <v>22141.188480000001</v>
      </c>
      <c r="AT264" s="5">
        <v>-26320.42597</v>
      </c>
      <c r="AU264" s="5">
        <v>13538.142459999999</v>
      </c>
      <c r="AV264" s="5">
        <v>-3618.6716900000001</v>
      </c>
      <c r="AW264" s="5">
        <v>492.57637</v>
      </c>
      <c r="AX264" s="5">
        <v>-27.021329999999999</v>
      </c>
      <c r="AY264" s="5"/>
      <c r="AZ264" s="5"/>
      <c r="BA264" s="5"/>
      <c r="BB264" s="5"/>
      <c r="BC264" s="5" t="s">
        <v>128</v>
      </c>
      <c r="BD264" s="5">
        <v>-94643.245880000002</v>
      </c>
      <c r="BE264" s="5">
        <v>21878.839070000002</v>
      </c>
      <c r="BF264" s="5"/>
      <c r="BG264" s="5"/>
      <c r="BH264" s="5"/>
      <c r="BO264">
        <v>-40728.152710000002</v>
      </c>
      <c r="BP264">
        <v>30427.463940000001</v>
      </c>
      <c r="BQ264">
        <v>-7262.5895899999996</v>
      </c>
      <c r="BR264">
        <v>566.36851000000001</v>
      </c>
      <c r="BY264" s="5" t="s">
        <v>128</v>
      </c>
      <c r="BZ264">
        <v>-43975.625769999999</v>
      </c>
      <c r="CA264">
        <v>9693.6237600000004</v>
      </c>
      <c r="CK264">
        <v>-6066.0364900000004</v>
      </c>
      <c r="CL264">
        <v>6906.2231700000002</v>
      </c>
      <c r="CM264">
        <v>-1869.4105999999999</v>
      </c>
      <c r="CN264">
        <v>152.24637999999999</v>
      </c>
      <c r="CU264" s="5" t="s">
        <v>128</v>
      </c>
      <c r="CV264">
        <v>-28112.549419999999</v>
      </c>
      <c r="CW264">
        <v>5856.8262599999998</v>
      </c>
      <c r="DG264">
        <v>19288.742849999999</v>
      </c>
      <c r="DH264">
        <v>-11220.100210000001</v>
      </c>
      <c r="DI264">
        <v>2808.8617800000002</v>
      </c>
      <c r="DJ264">
        <v>-364.90872999999999</v>
      </c>
      <c r="DK264">
        <v>24.16188</v>
      </c>
      <c r="DL264">
        <v>-0.64585000000000004</v>
      </c>
      <c r="DR264" s="46">
        <v>3020.5449100000001</v>
      </c>
      <c r="DS264" s="46">
        <v>-809.83180000000004</v>
      </c>
      <c r="DT264" s="46">
        <v>91.974710000000002</v>
      </c>
      <c r="DU264" s="46">
        <v>-5.3786500000000004</v>
      </c>
      <c r="DV264" s="46">
        <v>0.15975</v>
      </c>
      <c r="DW264" s="46">
        <v>-1.91E-3</v>
      </c>
    </row>
    <row r="265" spans="2:127" ht="15.95" customHeight="1">
      <c r="B265" s="6">
        <f t="shared" si="43"/>
        <v>-47498.11301268253</v>
      </c>
      <c r="C265" s="6">
        <f t="shared" si="44"/>
        <v>69179.975805360009</v>
      </c>
      <c r="D265" s="6">
        <f t="shared" si="55"/>
        <v>20074.796886171884</v>
      </c>
      <c r="E265" s="6">
        <f t="shared" si="45"/>
        <v>27311.889231359994</v>
      </c>
      <c r="F265" s="6">
        <f t="shared" si="56"/>
        <v>5102.2918925770573</v>
      </c>
      <c r="G265" s="6">
        <f t="shared" si="46"/>
        <v>10291.269578400003</v>
      </c>
      <c r="H265" s="6">
        <f t="shared" si="47"/>
        <v>283.1593770639538</v>
      </c>
      <c r="I265" s="6">
        <f t="shared" si="48"/>
        <v>280.48250377269932</v>
      </c>
      <c r="N265" s="2">
        <v>53</v>
      </c>
      <c r="O265" s="2" t="s">
        <v>67</v>
      </c>
      <c r="P265" s="4">
        <v>126.9045</v>
      </c>
      <c r="Q265" s="26">
        <f>R36</f>
        <v>0</v>
      </c>
      <c r="R265" s="6">
        <f>IF($B$15&lt;4.552543,B265,IF($B$15&lt;4.579885,C265,IF($B$15&lt;4.847248,D265,IF($B$15&lt;4.87636,E265,IF($B$15&lt;5.182912,F265,IF($B$15&lt;5.21404,G265,IF($B$15&lt;9.653919,H265,IF($B$15&lt;20.2,I265))))))))</f>
        <v>283.1593770639538</v>
      </c>
      <c r="S265" s="6">
        <f t="shared" si="49"/>
        <v>0</v>
      </c>
      <c r="T265" s="6" t="e">
        <f t="shared" si="50"/>
        <v>#DIV/0!</v>
      </c>
      <c r="U265" s="6" t="e">
        <f t="shared" si="57"/>
        <v>#DIV/0!</v>
      </c>
      <c r="V265" s="49" t="s">
        <v>188</v>
      </c>
      <c r="W265" s="3"/>
      <c r="X265">
        <v>0.74</v>
      </c>
      <c r="Y265" s="3" t="e">
        <f t="shared" si="25"/>
        <v>#DIV/0!</v>
      </c>
      <c r="Z265" s="36" t="e">
        <f t="shared" si="16"/>
        <v>#DIV/0!</v>
      </c>
      <c r="AA265" s="3" t="e">
        <f t="shared" si="36"/>
        <v>#DIV/0!</v>
      </c>
      <c r="AB265" s="36" t="e">
        <f t="shared" si="8"/>
        <v>#DIV/0!</v>
      </c>
      <c r="AC265" s="3" t="e">
        <f t="shared" si="9"/>
        <v>#DIV/0!</v>
      </c>
      <c r="AD265" s="36" t="e">
        <f t="shared" si="10"/>
        <v>#DIV/0!</v>
      </c>
      <c r="AE265" s="36" t="e">
        <f t="shared" si="39"/>
        <v>#DIV/0!</v>
      </c>
      <c r="AF265" s="36" t="e">
        <f t="shared" si="37"/>
        <v>#DIV/0!</v>
      </c>
      <c r="AG265" s="3" t="e">
        <f t="shared" si="38"/>
        <v>#DIV/0!</v>
      </c>
      <c r="AH265" s="36" t="e">
        <f t="shared" si="12"/>
        <v>#DIV/0!</v>
      </c>
      <c r="AI265" s="36" t="e">
        <f t="shared" si="17"/>
        <v>#DIV/0!</v>
      </c>
      <c r="AJ265" s="3" t="e">
        <f t="shared" si="13"/>
        <v>#DIV/0!</v>
      </c>
      <c r="AK265" s="36" t="e">
        <f t="shared" si="14"/>
        <v>#DIV/0!</v>
      </c>
      <c r="AL265" s="36" t="e">
        <f t="shared" si="40"/>
        <v>#DIV/0!</v>
      </c>
      <c r="AM265" s="36" t="e">
        <f t="shared" si="18"/>
        <v>#DIV/0!</v>
      </c>
      <c r="AP265" s="32">
        <v>53</v>
      </c>
      <c r="AQ265" s="1" t="s">
        <v>67</v>
      </c>
      <c r="AR265"/>
      <c r="AS265" s="5">
        <v>23887.29825</v>
      </c>
      <c r="AT265" s="5">
        <v>-28403.422119999999</v>
      </c>
      <c r="AU265" s="5">
        <v>14620.29883</v>
      </c>
      <c r="AV265" s="5">
        <v>-3908.7145700000001</v>
      </c>
      <c r="AW265" s="5">
        <v>531.59500000000003</v>
      </c>
      <c r="AX265" s="5">
        <v>-29.096959999999999</v>
      </c>
      <c r="AY265" s="5"/>
      <c r="AZ265" s="5"/>
      <c r="BA265" s="5"/>
      <c r="BB265" s="5"/>
      <c r="BC265" s="5" t="s">
        <v>128</v>
      </c>
      <c r="BD265" s="5">
        <v>-89551.827309999993</v>
      </c>
      <c r="BE265" s="5">
        <v>19723.136569999999</v>
      </c>
      <c r="BF265" s="5"/>
      <c r="BG265" s="5"/>
      <c r="BH265" s="5"/>
      <c r="BO265">
        <v>-39677.280780000001</v>
      </c>
      <c r="BP265">
        <v>28127.67699</v>
      </c>
      <c r="BQ265">
        <v>-6379.1314400000001</v>
      </c>
      <c r="BR265">
        <v>472.99509</v>
      </c>
      <c r="BY265" s="5" t="s">
        <v>128</v>
      </c>
      <c r="BZ265">
        <v>-39724.367960000003</v>
      </c>
      <c r="CA265">
        <v>8329.5548199999994</v>
      </c>
      <c r="CK265">
        <v>-5515.6251599999996</v>
      </c>
      <c r="CL265">
        <v>6045.1640299999999</v>
      </c>
      <c r="CM265">
        <v>-1558.93544</v>
      </c>
      <c r="CN265">
        <v>120.74163</v>
      </c>
      <c r="CU265" s="5" t="s">
        <v>128</v>
      </c>
      <c r="CV265">
        <v>-16512.12804</v>
      </c>
      <c r="CW265">
        <v>3330.4420500000001</v>
      </c>
      <c r="DG265">
        <v>15743.669519999999</v>
      </c>
      <c r="DH265">
        <v>-8311.1018100000001</v>
      </c>
      <c r="DI265">
        <v>1902.89039</v>
      </c>
      <c r="DJ265">
        <v>-227.64868000000001</v>
      </c>
      <c r="DK265">
        <v>13.96035</v>
      </c>
      <c r="DL265">
        <v>-0.34721999999999997</v>
      </c>
      <c r="DR265" s="46">
        <v>2932.2761799999998</v>
      </c>
      <c r="DS265" s="46">
        <v>-758.42988000000003</v>
      </c>
      <c r="DT265" s="46">
        <v>83.312610000000006</v>
      </c>
      <c r="DU265" s="46">
        <v>-4.7241999999999997</v>
      </c>
      <c r="DV265" s="46">
        <v>0.13638</v>
      </c>
      <c r="DW265" s="46">
        <v>-1.5900000000000001E-3</v>
      </c>
    </row>
    <row r="266" spans="2:127" ht="15.95" customHeight="1">
      <c r="B266" s="6">
        <f t="shared" si="43"/>
        <v>-42144.450670981314</v>
      </c>
      <c r="C266" s="6">
        <f t="shared" si="44"/>
        <v>56188.922866719993</v>
      </c>
      <c r="D266" s="6">
        <f t="shared" si="55"/>
        <v>12645.306686958822</v>
      </c>
      <c r="E266" s="6">
        <f t="shared" si="45"/>
        <v>21826.983203439995</v>
      </c>
      <c r="F266" s="6">
        <f t="shared" si="56"/>
        <v>2928.9265378618511</v>
      </c>
      <c r="G266" s="6">
        <f t="shared" si="46"/>
        <v>8242.7772526400004</v>
      </c>
      <c r="H266" s="6">
        <f t="shared" si="47"/>
        <v>294.41832432639785</v>
      </c>
      <c r="I266" s="6">
        <f t="shared" si="48"/>
        <v>290.50753415868235</v>
      </c>
      <c r="N266" s="2">
        <v>54</v>
      </c>
      <c r="O266" s="2" t="s">
        <v>68</v>
      </c>
      <c r="P266" s="4">
        <v>131.29</v>
      </c>
      <c r="Q266" s="26">
        <f>S36</f>
        <v>0</v>
      </c>
      <c r="R266" s="6">
        <f>IF($B$15&lt;4.777418,B266,IF($B$15&lt;4.806111,C266,IF($B$15&lt;5.0986,D266,IF($B$15&lt;5.12922,E266,IF($B$15&lt;5.447347,F266,IF($B$15&lt;5.480064,G266,IF($B$15&lt;9.65392,H266,IF($B$15&lt;20.2,I266))))))))</f>
        <v>294.41832432639785</v>
      </c>
      <c r="S266" s="6">
        <f t="shared" si="49"/>
        <v>0</v>
      </c>
      <c r="T266" s="6" t="e">
        <f t="shared" si="50"/>
        <v>#DIV/0!</v>
      </c>
      <c r="U266" s="6" t="e">
        <f t="shared" si="57"/>
        <v>#DIV/0!</v>
      </c>
      <c r="V266" s="49" t="s">
        <v>188</v>
      </c>
      <c r="W266" s="3"/>
      <c r="X266">
        <v>0.73499999999999999</v>
      </c>
      <c r="Y266" s="3" t="e">
        <f t="shared" si="25"/>
        <v>#DIV/0!</v>
      </c>
      <c r="Z266" s="36" t="e">
        <f t="shared" si="16"/>
        <v>#DIV/0!</v>
      </c>
      <c r="AA266" s="3" t="e">
        <f t="shared" si="36"/>
        <v>#DIV/0!</v>
      </c>
      <c r="AB266" s="36" t="e">
        <f t="shared" si="8"/>
        <v>#DIV/0!</v>
      </c>
      <c r="AC266" s="3" t="e">
        <f t="shared" si="9"/>
        <v>#DIV/0!</v>
      </c>
      <c r="AD266" s="36" t="e">
        <f t="shared" si="10"/>
        <v>#DIV/0!</v>
      </c>
      <c r="AE266" s="36" t="e">
        <f t="shared" si="39"/>
        <v>#DIV/0!</v>
      </c>
      <c r="AF266" s="36" t="e">
        <f t="shared" si="37"/>
        <v>#DIV/0!</v>
      </c>
      <c r="AG266" s="3" t="e">
        <f t="shared" si="38"/>
        <v>#DIV/0!</v>
      </c>
      <c r="AH266" s="36" t="e">
        <f t="shared" si="12"/>
        <v>#DIV/0!</v>
      </c>
      <c r="AI266" s="36" t="e">
        <f t="shared" si="17"/>
        <v>#DIV/0!</v>
      </c>
      <c r="AJ266" s="3" t="e">
        <f t="shared" si="13"/>
        <v>#DIV/0!</v>
      </c>
      <c r="AK266" s="36" t="e">
        <f t="shared" si="14"/>
        <v>#DIV/0!</v>
      </c>
      <c r="AL266" s="36" t="e">
        <f t="shared" si="40"/>
        <v>#DIV/0!</v>
      </c>
      <c r="AM266" s="36" t="e">
        <f t="shared" si="18"/>
        <v>#DIV/0!</v>
      </c>
      <c r="AP266" s="32">
        <v>54</v>
      </c>
      <c r="AQ266" s="1" t="s">
        <v>68</v>
      </c>
      <c r="AR266"/>
      <c r="AS266" s="5">
        <v>25134.094440000001</v>
      </c>
      <c r="AT266" s="5">
        <v>-29727.727040000002</v>
      </c>
      <c r="AU266" s="5">
        <v>15153.97407</v>
      </c>
      <c r="AV266" s="5">
        <v>-3996.3849100000002</v>
      </c>
      <c r="AW266" s="5">
        <v>534.33770000000004</v>
      </c>
      <c r="AX266" s="5">
        <v>-28.670680000000001</v>
      </c>
      <c r="AY266" s="5"/>
      <c r="AZ266" s="5"/>
      <c r="BA266" s="5"/>
      <c r="BB266" s="5"/>
      <c r="BC266" s="5" t="s">
        <v>128</v>
      </c>
      <c r="BD266" s="5">
        <v>-81529.963260000004</v>
      </c>
      <c r="BE266" s="5">
        <v>17112.18764</v>
      </c>
      <c r="BF266" s="5"/>
      <c r="BG266" s="5"/>
      <c r="BH266" s="5"/>
      <c r="BO266">
        <v>-35596.446049999999</v>
      </c>
      <c r="BP266">
        <v>24036.76944</v>
      </c>
      <c r="BQ266">
        <v>-5189.835</v>
      </c>
      <c r="BR266">
        <v>366.29867000000002</v>
      </c>
      <c r="BY266" s="5" t="s">
        <v>128</v>
      </c>
      <c r="BZ266">
        <v>-36111.888910000001</v>
      </c>
      <c r="CA266">
        <v>7199.1640299999999</v>
      </c>
      <c r="CK266">
        <v>-3394.9455499999999</v>
      </c>
      <c r="CL266">
        <v>4267.2036200000002</v>
      </c>
      <c r="CM266">
        <v>-1092.5943</v>
      </c>
      <c r="CN266">
        <v>82.009259999999998</v>
      </c>
      <c r="CU266" s="5" t="s">
        <v>128</v>
      </c>
      <c r="CV266">
        <v>-15145.79264</v>
      </c>
      <c r="CW266">
        <v>2906.1344300000001</v>
      </c>
      <c r="DG266">
        <v>16953.267380000001</v>
      </c>
      <c r="DH266">
        <v>-9025.1519700000008</v>
      </c>
      <c r="DI266">
        <v>2074.62979</v>
      </c>
      <c r="DJ266">
        <v>-248.22985</v>
      </c>
      <c r="DK266">
        <v>15.17896</v>
      </c>
      <c r="DL266">
        <v>-0.37563000000000002</v>
      </c>
      <c r="DR266" s="46">
        <v>2932.7062999999998</v>
      </c>
      <c r="DS266" s="46">
        <v>-749.27404000000001</v>
      </c>
      <c r="DT266" s="46">
        <v>81.43853</v>
      </c>
      <c r="DU266" s="46">
        <v>-4.5764100000000001</v>
      </c>
      <c r="DV266" s="46">
        <v>0.13111</v>
      </c>
      <c r="DW266" s="46">
        <v>-1.5200000000000001E-3</v>
      </c>
    </row>
    <row r="267" spans="2:127" ht="15.95" customHeight="1">
      <c r="B267" s="6">
        <f t="shared" si="43"/>
        <v>-31602.135682361433</v>
      </c>
      <c r="C267" s="6">
        <f t="shared" si="44"/>
        <v>46566.157104720012</v>
      </c>
      <c r="D267" s="6">
        <f t="shared" si="55"/>
        <v>7355.9295774388884</v>
      </c>
      <c r="E267" s="6">
        <f t="shared" si="45"/>
        <v>17798.621855040001</v>
      </c>
      <c r="F267" s="6">
        <f t="shared" si="56"/>
        <v>1946.1515999071271</v>
      </c>
      <c r="G267" s="6">
        <f t="shared" si="46"/>
        <v>6725.7138104800015</v>
      </c>
      <c r="H267" s="6">
        <f t="shared" si="47"/>
        <v>313.34079168127028</v>
      </c>
      <c r="I267" s="6">
        <f t="shared" si="48"/>
        <v>306.64983897026264</v>
      </c>
      <c r="N267" s="15">
        <v>55</v>
      </c>
      <c r="O267" s="2" t="s">
        <v>69</v>
      </c>
      <c r="P267" s="4">
        <v>132.90539999999999</v>
      </c>
      <c r="Q267" s="26">
        <f>B38</f>
        <v>0</v>
      </c>
      <c r="R267" s="6">
        <f>IF($B$15&lt;5.0069,B267,IF($B$15&lt;5.03696,C267,IF($B$15&lt;5.35404,D267,IF($B$15&lt;5.386197,E267,IF($B$15&lt;5.708586,F267,IF($B$15&lt;5.742872,G267,IF($B$15&lt;9.653919,H267,IF($B$15&lt;20.2,I267))))))))</f>
        <v>313.34079168127028</v>
      </c>
      <c r="S267" s="6">
        <f t="shared" si="49"/>
        <v>0</v>
      </c>
      <c r="T267" s="6" t="e">
        <f t="shared" si="50"/>
        <v>#DIV/0!</v>
      </c>
      <c r="U267" s="6" t="e">
        <f t="shared" si="57"/>
        <v>#DIV/0!</v>
      </c>
      <c r="V267" s="49" t="s">
        <v>188</v>
      </c>
      <c r="W267" s="3"/>
      <c r="X267">
        <v>0.73</v>
      </c>
      <c r="Y267" s="3" t="e">
        <f t="shared" si="25"/>
        <v>#DIV/0!</v>
      </c>
      <c r="Z267" s="36" t="e">
        <f t="shared" si="16"/>
        <v>#DIV/0!</v>
      </c>
      <c r="AA267" s="3" t="e">
        <f t="shared" si="36"/>
        <v>#DIV/0!</v>
      </c>
      <c r="AB267" s="36" t="e">
        <f t="shared" si="8"/>
        <v>#DIV/0!</v>
      </c>
      <c r="AC267" s="3" t="e">
        <f t="shared" si="9"/>
        <v>#DIV/0!</v>
      </c>
      <c r="AD267" s="36" t="e">
        <f t="shared" si="10"/>
        <v>#DIV/0!</v>
      </c>
      <c r="AE267" s="36" t="e">
        <f t="shared" si="39"/>
        <v>#DIV/0!</v>
      </c>
      <c r="AF267" s="36" t="e">
        <f t="shared" si="37"/>
        <v>#DIV/0!</v>
      </c>
      <c r="AG267" s="3" t="e">
        <f t="shared" si="38"/>
        <v>#DIV/0!</v>
      </c>
      <c r="AH267" s="36" t="e">
        <f t="shared" si="12"/>
        <v>#DIV/0!</v>
      </c>
      <c r="AI267" s="36" t="e">
        <f t="shared" si="17"/>
        <v>#DIV/0!</v>
      </c>
      <c r="AJ267" s="3" t="e">
        <f t="shared" si="13"/>
        <v>#DIV/0!</v>
      </c>
      <c r="AK267" s="36" t="e">
        <f t="shared" si="14"/>
        <v>#DIV/0!</v>
      </c>
      <c r="AL267" s="36" t="e">
        <f t="shared" si="40"/>
        <v>#DIV/0!</v>
      </c>
      <c r="AM267" s="36" t="e">
        <f t="shared" si="18"/>
        <v>#DIV/0!</v>
      </c>
      <c r="AP267" s="32">
        <v>55</v>
      </c>
      <c r="AQ267" s="1" t="s">
        <v>69</v>
      </c>
      <c r="AR267"/>
      <c r="AS267" s="5">
        <v>25814.350480000001</v>
      </c>
      <c r="AT267" s="5">
        <v>-29750.225999999999</v>
      </c>
      <c r="AU267" s="5">
        <v>14738.67419</v>
      </c>
      <c r="AV267" s="5">
        <v>-3770.16194</v>
      </c>
      <c r="AW267" s="5">
        <v>488.21888000000001</v>
      </c>
      <c r="AX267" s="5">
        <v>-25.338740000000001</v>
      </c>
      <c r="AY267" s="5"/>
      <c r="AZ267" s="5"/>
      <c r="BA267" s="5"/>
      <c r="BB267" s="5"/>
      <c r="BC267" s="5" t="s">
        <v>128</v>
      </c>
      <c r="BD267" s="5">
        <v>-76098.198569999993</v>
      </c>
      <c r="BE267" s="5">
        <v>15241.59489</v>
      </c>
      <c r="BF267" s="5"/>
      <c r="BG267" s="5"/>
      <c r="BH267" s="5"/>
      <c r="BO267">
        <v>-27653.434730000001</v>
      </c>
      <c r="BP267">
        <v>18216.929410000001</v>
      </c>
      <c r="BQ267">
        <v>-3800.17695</v>
      </c>
      <c r="BR267">
        <v>258.09613000000002</v>
      </c>
      <c r="BY267" s="5" t="s">
        <v>128</v>
      </c>
      <c r="BZ267">
        <v>-33707.376819999998</v>
      </c>
      <c r="CA267">
        <v>6399.8507300000001</v>
      </c>
      <c r="CK267">
        <v>-3104.2138100000002</v>
      </c>
      <c r="CL267">
        <v>3789.0900200000001</v>
      </c>
      <c r="CM267">
        <v>-928.98505</v>
      </c>
      <c r="CN267">
        <v>66.618679999999998</v>
      </c>
      <c r="CU267" s="5" t="s">
        <v>128</v>
      </c>
      <c r="CV267">
        <v>-14191.19923</v>
      </c>
      <c r="CW267">
        <v>2599.0200100000002</v>
      </c>
      <c r="DG267">
        <v>20115.49698</v>
      </c>
      <c r="DH267">
        <v>-10935.74502</v>
      </c>
      <c r="DI267">
        <v>2543.0771500000001</v>
      </c>
      <c r="DJ267">
        <v>-305.70938999999998</v>
      </c>
      <c r="DK267">
        <v>18.69182</v>
      </c>
      <c r="DL267">
        <v>-0.46101999999999999</v>
      </c>
      <c r="DR267" s="46">
        <v>2970.0083599999998</v>
      </c>
      <c r="DS267" s="46">
        <v>-748.01284999999996</v>
      </c>
      <c r="DT267" s="46">
        <v>80.325729999999993</v>
      </c>
      <c r="DU267" s="46">
        <v>-4.4685300000000003</v>
      </c>
      <c r="DV267" s="46">
        <v>0.12694</v>
      </c>
      <c r="DW267" s="46">
        <v>-1.4599999999999999E-3</v>
      </c>
    </row>
    <row r="268" spans="2:127" ht="15.95" customHeight="1">
      <c r="B268" s="6">
        <f t="shared" si="43"/>
        <v>-20357.180029415409</v>
      </c>
      <c r="C268" s="6">
        <f t="shared" si="44"/>
        <v>37520.214691040004</v>
      </c>
      <c r="D268" s="6">
        <f t="shared" si="55"/>
        <v>4691.0143864513084</v>
      </c>
      <c r="E268" s="6">
        <f t="shared" si="45"/>
        <v>14034.629078000005</v>
      </c>
      <c r="F268" s="6">
        <f t="shared" si="56"/>
        <v>1199.8993388002527</v>
      </c>
      <c r="G268" s="6">
        <f t="shared" si="46"/>
        <v>5291.99436952</v>
      </c>
      <c r="H268" s="6">
        <f t="shared" si="47"/>
        <v>324.6579337047533</v>
      </c>
      <c r="I268" s="6">
        <f t="shared" si="48"/>
        <v>316.06807968936573</v>
      </c>
      <c r="N268" s="15">
        <v>56</v>
      </c>
      <c r="O268" s="2" t="s">
        <v>70</v>
      </c>
      <c r="P268" s="4">
        <v>137.33000000000001</v>
      </c>
      <c r="Q268" s="26">
        <f>C38</f>
        <v>0</v>
      </c>
      <c r="R268" s="6">
        <f>IF($B$15&lt;5.241753,B268,IF($B$15&lt;5.273235,C268,IF($B$15&lt;5.617976,D268,IF($B$15&lt;5.651718,E268,IF($B$15&lt;5.982811,F268,IF($B$15&lt;6.018744,G268,IF($B$15&lt;9.653919,H268,IF($B$15&lt;20.2,I268))))))))</f>
        <v>324.6579337047533</v>
      </c>
      <c r="S268" s="6">
        <f t="shared" si="49"/>
        <v>0</v>
      </c>
      <c r="T268" s="6" t="e">
        <f t="shared" si="50"/>
        <v>#DIV/0!</v>
      </c>
      <c r="U268" s="6" t="e">
        <f t="shared" si="57"/>
        <v>#DIV/0!</v>
      </c>
      <c r="V268" s="49" t="s">
        <v>188</v>
      </c>
      <c r="W268" s="3"/>
      <c r="X268">
        <v>0.72499999999999998</v>
      </c>
      <c r="Y268" s="3" t="e">
        <f t="shared" si="25"/>
        <v>#DIV/0!</v>
      </c>
      <c r="Z268" s="36" t="e">
        <f t="shared" si="16"/>
        <v>#DIV/0!</v>
      </c>
      <c r="AA268" s="3" t="e">
        <f t="shared" si="36"/>
        <v>#DIV/0!</v>
      </c>
      <c r="AB268" s="36" t="e">
        <f t="shared" si="8"/>
        <v>#DIV/0!</v>
      </c>
      <c r="AC268" s="3" t="e">
        <f t="shared" si="9"/>
        <v>#DIV/0!</v>
      </c>
      <c r="AD268" s="36" t="e">
        <f t="shared" si="10"/>
        <v>#DIV/0!</v>
      </c>
      <c r="AE268" s="36" t="e">
        <f t="shared" si="39"/>
        <v>#DIV/0!</v>
      </c>
      <c r="AF268" s="36" t="e">
        <f t="shared" si="37"/>
        <v>#DIV/0!</v>
      </c>
      <c r="AG268" s="3" t="e">
        <f t="shared" si="38"/>
        <v>#DIV/0!</v>
      </c>
      <c r="AH268" s="36" t="e">
        <f t="shared" si="12"/>
        <v>#DIV/0!</v>
      </c>
      <c r="AI268" s="36" t="e">
        <f t="shared" si="17"/>
        <v>#DIV/0!</v>
      </c>
      <c r="AJ268" s="3" t="e">
        <f t="shared" si="13"/>
        <v>#DIV/0!</v>
      </c>
      <c r="AK268" s="36" t="e">
        <f t="shared" si="14"/>
        <v>#DIV/0!</v>
      </c>
      <c r="AL268" s="36" t="e">
        <f t="shared" si="40"/>
        <v>#DIV/0!</v>
      </c>
      <c r="AM268" s="36" t="e">
        <f t="shared" si="18"/>
        <v>#DIV/0!</v>
      </c>
      <c r="AP268" s="32">
        <v>56</v>
      </c>
      <c r="AQ268" s="1" t="s">
        <v>70</v>
      </c>
      <c r="AR268"/>
      <c r="AS268" s="5">
        <v>24929.03024</v>
      </c>
      <c r="AT268" s="5">
        <v>-27663.412769999999</v>
      </c>
      <c r="AU268" s="5">
        <v>13180.435460000001</v>
      </c>
      <c r="AV268" s="5">
        <v>-3240.5921800000001</v>
      </c>
      <c r="AW268" s="5">
        <v>403.18630999999999</v>
      </c>
      <c r="AX268" s="5">
        <v>-20.098030000000001</v>
      </c>
      <c r="AY268" s="5"/>
      <c r="AZ268" s="5"/>
      <c r="BA268" s="5"/>
      <c r="BB268" s="5"/>
      <c r="BC268" s="5" t="s">
        <v>128</v>
      </c>
      <c r="BD268" s="5">
        <v>-69505.25</v>
      </c>
      <c r="BE268" s="5">
        <v>13298.39273</v>
      </c>
      <c r="BF268" s="5"/>
      <c r="BG268" s="5"/>
      <c r="BH268" s="5"/>
      <c r="BO268">
        <v>-26117.278310000002</v>
      </c>
      <c r="BP268">
        <v>16357.558429999999</v>
      </c>
      <c r="BQ268">
        <v>-3249.56592</v>
      </c>
      <c r="BR268">
        <v>210.32812000000001</v>
      </c>
      <c r="BY268" s="5" t="s">
        <v>128</v>
      </c>
      <c r="BZ268">
        <v>-30753.867129999999</v>
      </c>
      <c r="CA268">
        <v>5565.1710000000003</v>
      </c>
      <c r="CK268">
        <v>-2399.7145599999999</v>
      </c>
      <c r="CL268">
        <v>3047.7615599999999</v>
      </c>
      <c r="CM268">
        <v>-723.23239999999998</v>
      </c>
      <c r="CN268">
        <v>49.715389999999999</v>
      </c>
      <c r="CU268" s="5" t="s">
        <v>128</v>
      </c>
      <c r="CV268">
        <v>-13017.74879</v>
      </c>
      <c r="CW268">
        <v>2275.0674899999999</v>
      </c>
      <c r="DG268">
        <v>21845.469730000001</v>
      </c>
      <c r="DH268">
        <v>-11872.645630000001</v>
      </c>
      <c r="DI268">
        <v>2745.2384299999999</v>
      </c>
      <c r="DJ268">
        <v>-327.07130999999998</v>
      </c>
      <c r="DK268">
        <v>19.78434</v>
      </c>
      <c r="DL268">
        <v>-0.48236000000000001</v>
      </c>
      <c r="DR268" s="46">
        <v>3009.8056999999999</v>
      </c>
      <c r="DS268" s="46">
        <v>-755.04187999999999</v>
      </c>
      <c r="DT268" s="46">
        <v>80.947609999999997</v>
      </c>
      <c r="DU268" s="46">
        <v>-4.5039199999999999</v>
      </c>
      <c r="DV268" s="46">
        <v>0.12814</v>
      </c>
      <c r="DW268" s="46">
        <v>-1.48E-3</v>
      </c>
    </row>
    <row r="269" spans="2:127" ht="15.95" customHeight="1">
      <c r="B269" s="6">
        <f t="shared" si="43"/>
        <v>-13936.853701917338</v>
      </c>
      <c r="C269" s="6">
        <f t="shared" si="44"/>
        <v>30095.847718319994</v>
      </c>
      <c r="D269" s="6">
        <f t="shared" si="55"/>
        <v>583.32485067000198</v>
      </c>
      <c r="E269" s="6">
        <f t="shared" si="45"/>
        <v>10992.990119360002</v>
      </c>
      <c r="F269" s="6">
        <f t="shared" si="56"/>
        <v>386.73983990448369</v>
      </c>
      <c r="G269" s="6">
        <f t="shared" si="46"/>
        <v>4216.13872472</v>
      </c>
      <c r="H269" s="6">
        <f t="shared" si="47"/>
        <v>342.89334043734152</v>
      </c>
      <c r="I269" s="6">
        <f t="shared" si="48"/>
        <v>321.51219907078212</v>
      </c>
      <c r="N269" s="15">
        <v>57</v>
      </c>
      <c r="O269" s="2" t="s">
        <v>71</v>
      </c>
      <c r="P269" s="4">
        <v>138.90549999999999</v>
      </c>
      <c r="Q269" s="26">
        <f>D42</f>
        <v>0</v>
      </c>
      <c r="R269" s="6">
        <f>IF($B$15&lt;5.477217,B269,IF($B$15&lt;5.510113,C269,IF($B$15&lt;5.88471,D269,IF($B$15&lt;5.92,E269,IF($B$15&lt;6.26,F269,IF($B$15&lt;6.297632,G269,IF($B$15&lt;11.03212,H269,IF($B$15&lt;20.2,I269))))))))</f>
        <v>342.89334043734152</v>
      </c>
      <c r="S269" s="6">
        <f t="shared" si="49"/>
        <v>0</v>
      </c>
      <c r="T269" s="6" t="e">
        <f t="shared" si="50"/>
        <v>#DIV/0!</v>
      </c>
      <c r="U269" s="6" t="e">
        <f t="shared" si="57"/>
        <v>#DIV/0!</v>
      </c>
      <c r="V269" s="49" t="s">
        <v>188</v>
      </c>
      <c r="W269" s="3"/>
      <c r="X269">
        <v>0.72</v>
      </c>
      <c r="Y269" s="3" t="e">
        <f t="shared" si="25"/>
        <v>#DIV/0!</v>
      </c>
      <c r="Z269" s="36" t="e">
        <f t="shared" si="16"/>
        <v>#DIV/0!</v>
      </c>
      <c r="AA269" s="3" t="e">
        <f t="shared" si="36"/>
        <v>#DIV/0!</v>
      </c>
      <c r="AB269" s="36" t="e">
        <f t="shared" si="8"/>
        <v>#DIV/0!</v>
      </c>
      <c r="AC269" s="3" t="e">
        <f t="shared" si="9"/>
        <v>#DIV/0!</v>
      </c>
      <c r="AD269" s="36" t="e">
        <f t="shared" si="10"/>
        <v>#DIV/0!</v>
      </c>
      <c r="AE269" s="36" t="e">
        <f t="shared" si="39"/>
        <v>#DIV/0!</v>
      </c>
      <c r="AF269" s="36" t="e">
        <f t="shared" si="37"/>
        <v>#DIV/0!</v>
      </c>
      <c r="AG269" s="3" t="e">
        <f t="shared" si="38"/>
        <v>#DIV/0!</v>
      </c>
      <c r="AH269" s="36" t="e">
        <f t="shared" si="12"/>
        <v>#DIV/0!</v>
      </c>
      <c r="AI269" s="36" t="e">
        <f t="shared" si="17"/>
        <v>#DIV/0!</v>
      </c>
      <c r="AJ269" s="3" t="e">
        <f t="shared" si="13"/>
        <v>#DIV/0!</v>
      </c>
      <c r="AK269" s="36" t="e">
        <f t="shared" si="14"/>
        <v>#DIV/0!</v>
      </c>
      <c r="AL269" s="36" t="e">
        <f t="shared" si="40"/>
        <v>#DIV/0!</v>
      </c>
      <c r="AM269" s="36" t="e">
        <f t="shared" si="18"/>
        <v>#DIV/0!</v>
      </c>
      <c r="AP269" s="32">
        <v>57</v>
      </c>
      <c r="AQ269" s="1" t="s">
        <v>71</v>
      </c>
      <c r="AR269"/>
      <c r="AS269" s="5">
        <v>24808.470239999999</v>
      </c>
      <c r="AT269" s="5">
        <v>-26689.015380000001</v>
      </c>
      <c r="AU269" s="5">
        <v>12309.424789999999</v>
      </c>
      <c r="AV269" s="5">
        <v>-2926.1306500000001</v>
      </c>
      <c r="AW269" s="5">
        <v>351.64598000000001</v>
      </c>
      <c r="AX269" s="5">
        <v>-16.916540000000001</v>
      </c>
      <c r="AY269" s="5"/>
      <c r="AZ269" s="5"/>
      <c r="BA269" s="5"/>
      <c r="BB269" s="5"/>
      <c r="BC269" s="5" t="s">
        <v>128</v>
      </c>
      <c r="BD269" s="5">
        <v>-63516.953849999998</v>
      </c>
      <c r="BE269" s="5">
        <v>11631.80934</v>
      </c>
      <c r="BF269" s="5"/>
      <c r="BG269" s="5"/>
      <c r="BH269" s="5"/>
      <c r="BO269">
        <v>3219.9736899999998</v>
      </c>
      <c r="BP269">
        <v>-367.17487999999997</v>
      </c>
      <c r="BQ269">
        <v>-75.551280000000006</v>
      </c>
      <c r="BR269">
        <v>9.9983500000000003</v>
      </c>
      <c r="BY269" s="5" t="s">
        <v>128</v>
      </c>
      <c r="BZ269">
        <v>-28116.42338</v>
      </c>
      <c r="CA269">
        <v>4859.5195700000004</v>
      </c>
      <c r="CK269">
        <v>6527.70003</v>
      </c>
      <c r="CL269">
        <v>-1835.6228900000001</v>
      </c>
      <c r="CM269">
        <v>167.87577999999999</v>
      </c>
      <c r="CN269">
        <v>-4.29955</v>
      </c>
      <c r="CU269" s="5" t="s">
        <v>128</v>
      </c>
      <c r="CV269">
        <v>-12238.187529999999</v>
      </c>
      <c r="CW269">
        <v>2044.5236399999999</v>
      </c>
      <c r="DG269">
        <v>10589.696900000001</v>
      </c>
      <c r="DH269">
        <v>-4379.0145300000004</v>
      </c>
      <c r="DI269">
        <v>781.57321000000002</v>
      </c>
      <c r="DJ269">
        <v>-72.654629999999997</v>
      </c>
      <c r="DK269">
        <v>3.4539800000000001</v>
      </c>
      <c r="DL269">
        <v>-6.6479999999999997E-2</v>
      </c>
      <c r="DR269" s="46">
        <v>2512.8126600000001</v>
      </c>
      <c r="DS269" s="46">
        <v>-577.93034</v>
      </c>
      <c r="DT269" s="46">
        <v>56.900640000000003</v>
      </c>
      <c r="DU269" s="46">
        <v>-2.9142999999999999</v>
      </c>
      <c r="DV269" s="46">
        <v>7.6560000000000003E-2</v>
      </c>
      <c r="DW269" s="46">
        <v>-8.1839800000000002E-4</v>
      </c>
    </row>
    <row r="270" spans="2:127" ht="15.95" customHeight="1">
      <c r="B270" s="6">
        <f t="shared" si="43"/>
        <v>-9477.3565116420505</v>
      </c>
      <c r="C270" s="6">
        <f t="shared" si="44"/>
        <v>25281.409338159996</v>
      </c>
      <c r="D270" s="6">
        <f t="shared" si="55"/>
        <v>1174.205640160144</v>
      </c>
      <c r="E270" s="6">
        <f t="shared" si="45"/>
        <v>8685.0438848799968</v>
      </c>
      <c r="F270" s="6">
        <f t="shared" si="56"/>
        <v>322.63877720739765</v>
      </c>
      <c r="G270" s="6">
        <f t="shared" si="46"/>
        <v>3312.1778403200005</v>
      </c>
      <c r="H270" s="6">
        <f t="shared" si="47"/>
        <v>363.40019858158485</v>
      </c>
      <c r="I270" s="6">
        <f t="shared" si="48"/>
        <v>336.75985031083837</v>
      </c>
      <c r="N270" s="15">
        <v>58</v>
      </c>
      <c r="O270" s="2" t="s">
        <v>72</v>
      </c>
      <c r="P270" s="4">
        <v>140.12</v>
      </c>
      <c r="Q270" s="26">
        <f>E42</f>
        <v>0</v>
      </c>
      <c r="R270" s="6">
        <f>IF($B$15&lt;5.717677,B270,IF($B$15&lt;5.752017,C270,IF($B$15&lt;6.158036,D270,IF($B$15&lt;6.195021,E270,IF($B$15&lt;6.542251,F270,IF($B$15&lt;6.581544,G270,IF($B$15&lt;11.03212,H270,IF($B$15&lt;20.2,I270))))))))</f>
        <v>363.40019858158485</v>
      </c>
      <c r="S270" s="6">
        <f t="shared" si="49"/>
        <v>0</v>
      </c>
      <c r="T270" s="6" t="e">
        <f t="shared" si="50"/>
        <v>#DIV/0!</v>
      </c>
      <c r="U270" s="6" t="e">
        <f>T270/100*R270</f>
        <v>#DIV/0!</v>
      </c>
      <c r="V270" s="49" t="s">
        <v>188</v>
      </c>
      <c r="W270" s="3"/>
      <c r="X270">
        <v>0.71499999999999997</v>
      </c>
      <c r="Y270" s="3" t="e">
        <f t="shared" si="25"/>
        <v>#DIV/0!</v>
      </c>
      <c r="Z270" s="36" t="e">
        <f t="shared" si="16"/>
        <v>#DIV/0!</v>
      </c>
      <c r="AA270" s="3" t="e">
        <f t="shared" si="36"/>
        <v>#DIV/0!</v>
      </c>
      <c r="AB270" s="36" t="e">
        <f t="shared" si="8"/>
        <v>#DIV/0!</v>
      </c>
      <c r="AC270" s="3" t="e">
        <f t="shared" si="9"/>
        <v>#DIV/0!</v>
      </c>
      <c r="AD270" s="36" t="e">
        <f t="shared" si="10"/>
        <v>#DIV/0!</v>
      </c>
      <c r="AE270" s="36" t="e">
        <f t="shared" si="39"/>
        <v>#DIV/0!</v>
      </c>
      <c r="AF270" s="36" t="e">
        <f t="shared" si="37"/>
        <v>#DIV/0!</v>
      </c>
      <c r="AG270" s="3" t="e">
        <f t="shared" si="38"/>
        <v>#DIV/0!</v>
      </c>
      <c r="AH270" s="36" t="e">
        <f t="shared" si="12"/>
        <v>#DIV/0!</v>
      </c>
      <c r="AI270" s="36" t="e">
        <f t="shared" si="17"/>
        <v>#DIV/0!</v>
      </c>
      <c r="AJ270" s="3" t="e">
        <f t="shared" si="13"/>
        <v>#DIV/0!</v>
      </c>
      <c r="AK270" s="36" t="e">
        <f t="shared" si="14"/>
        <v>#DIV/0!</v>
      </c>
      <c r="AL270" s="36" t="e">
        <f t="shared" si="40"/>
        <v>#DIV/0!</v>
      </c>
      <c r="AM270" s="36" t="e">
        <f t="shared" si="18"/>
        <v>#DIV/0!</v>
      </c>
      <c r="AP270" s="32">
        <v>58</v>
      </c>
      <c r="AQ270" s="1" t="s">
        <v>72</v>
      </c>
      <c r="AR270"/>
      <c r="AS270" s="5">
        <v>25056.990570000002</v>
      </c>
      <c r="AT270" s="5">
        <v>-26161.483810000002</v>
      </c>
      <c r="AU270" s="5">
        <v>11684.30033</v>
      </c>
      <c r="AV270" s="5">
        <v>-2685.5876400000002</v>
      </c>
      <c r="AW270" s="5">
        <v>311.70922999999999</v>
      </c>
      <c r="AX270" s="5">
        <v>-14.469799999999999</v>
      </c>
      <c r="AY270" s="5"/>
      <c r="AZ270" s="5"/>
      <c r="BA270" s="5"/>
      <c r="BB270" s="5"/>
      <c r="BC270" s="5" t="s">
        <v>128</v>
      </c>
      <c r="BD270" s="5">
        <v>-61390.441550000003</v>
      </c>
      <c r="BE270" s="5">
        <v>10769.365169999999</v>
      </c>
      <c r="BF270" s="5"/>
      <c r="BG270" s="5"/>
      <c r="BH270" s="5"/>
      <c r="BO270">
        <v>-8278.8230399999993</v>
      </c>
      <c r="BP270">
        <v>5703.6769000000004</v>
      </c>
      <c r="BQ270">
        <v>-1130.0265899999999</v>
      </c>
      <c r="BR270">
        <v>70.48536</v>
      </c>
      <c r="BY270" s="5" t="s">
        <v>128</v>
      </c>
      <c r="BZ270">
        <v>-26372.770929999999</v>
      </c>
      <c r="CA270">
        <v>4356.0903099999996</v>
      </c>
      <c r="CK270">
        <v>9411.8056799999995</v>
      </c>
      <c r="CL270">
        <v>-3153.1428999999998</v>
      </c>
      <c r="CM270">
        <v>374.20332999999999</v>
      </c>
      <c r="CN270">
        <v>-15.251049999999999</v>
      </c>
      <c r="CU270" s="5" t="s">
        <v>128</v>
      </c>
      <c r="CV270">
        <v>-11563.91308</v>
      </c>
      <c r="CW270">
        <v>1848.42084</v>
      </c>
      <c r="DG270">
        <v>10662.87493</v>
      </c>
      <c r="DH270">
        <v>-4394.2564000000002</v>
      </c>
      <c r="DI270">
        <v>786.71424000000002</v>
      </c>
      <c r="DJ270">
        <v>-73.708680000000001</v>
      </c>
      <c r="DK270">
        <v>3.5437500000000002</v>
      </c>
      <c r="DL270">
        <v>-6.9150000000000003E-2</v>
      </c>
      <c r="DR270" s="46">
        <v>2579.2637599999998</v>
      </c>
      <c r="DS270" s="46">
        <v>-590.53206999999998</v>
      </c>
      <c r="DT270" s="46">
        <v>58.117350000000002</v>
      </c>
      <c r="DU270" s="46">
        <v>-2.98617</v>
      </c>
      <c r="DV270" s="46">
        <v>7.8939999999999996E-2</v>
      </c>
      <c r="DW270" s="46">
        <v>-8.51339E-4</v>
      </c>
    </row>
    <row r="271" spans="2:127" ht="15.95" customHeight="1">
      <c r="B271" s="6">
        <f t="shared" si="43"/>
        <v>-6146.0497622815892</v>
      </c>
      <c r="C271" s="6">
        <f t="shared" si="44"/>
        <v>20653.056122640002</v>
      </c>
      <c r="D271" s="6">
        <f t="shared" si="55"/>
        <v>696.10026647813356</v>
      </c>
      <c r="E271" s="6">
        <f t="shared" si="45"/>
        <v>7512.4089377599921</v>
      </c>
      <c r="F271" s="6">
        <f t="shared" si="56"/>
        <v>359.51451910005062</v>
      </c>
      <c r="G271" s="6">
        <f t="shared" si="46"/>
        <v>2560.0641149599996</v>
      </c>
      <c r="H271" s="6">
        <f t="shared" si="47"/>
        <v>384.77473478090087</v>
      </c>
      <c r="I271" s="6">
        <f t="shared" si="48"/>
        <v>355.45924986118365</v>
      </c>
      <c r="N271" s="15">
        <v>59</v>
      </c>
      <c r="O271" s="2" t="s">
        <v>106</v>
      </c>
      <c r="P271" s="4">
        <v>140.91</v>
      </c>
      <c r="Q271" s="45">
        <f>F42</f>
        <v>0</v>
      </c>
      <c r="R271" s="6">
        <f>IF($B$15&lt;5.958336,B271,IF($B$15&lt;5.994122,C271,IF($B$15&lt;6.43396,D271,IF($B$15&lt;6.469,E271,IF($B$15&lt;6.827965,F271,IF($B$15&lt;6.868974,G271,IF($B$15&lt;11.03212,H271,IF($B$15&lt;20.2,I271))))))))</f>
        <v>384.77473478090087</v>
      </c>
      <c r="S271" s="6">
        <f t="shared" si="49"/>
        <v>0</v>
      </c>
      <c r="T271" s="6" t="e">
        <f t="shared" si="50"/>
        <v>#DIV/0!</v>
      </c>
      <c r="U271" s="6" t="e">
        <f>T271/100*R271</f>
        <v>#DIV/0!</v>
      </c>
      <c r="V271" s="49" t="s">
        <v>188</v>
      </c>
      <c r="W271" s="3"/>
      <c r="X271">
        <v>0.71</v>
      </c>
      <c r="Y271" s="3" t="e">
        <f t="shared" si="25"/>
        <v>#DIV/0!</v>
      </c>
      <c r="Z271" s="36" t="e">
        <f t="shared" si="16"/>
        <v>#DIV/0!</v>
      </c>
      <c r="AA271" s="3" t="e">
        <f t="shared" si="36"/>
        <v>#DIV/0!</v>
      </c>
      <c r="AB271" s="36" t="e">
        <f t="shared" si="8"/>
        <v>#DIV/0!</v>
      </c>
      <c r="AC271" s="3" t="e">
        <f t="shared" si="9"/>
        <v>#DIV/0!</v>
      </c>
      <c r="AD271" s="36" t="e">
        <f t="shared" si="10"/>
        <v>#DIV/0!</v>
      </c>
      <c r="AE271" s="36" t="e">
        <f t="shared" si="39"/>
        <v>#DIV/0!</v>
      </c>
      <c r="AF271" s="36" t="e">
        <f t="shared" si="37"/>
        <v>#DIV/0!</v>
      </c>
      <c r="AG271" s="3" t="e">
        <f t="shared" si="38"/>
        <v>#DIV/0!</v>
      </c>
      <c r="AH271" s="36" t="e">
        <f t="shared" si="12"/>
        <v>#DIV/0!</v>
      </c>
      <c r="AI271" s="36" t="e">
        <f t="shared" si="17"/>
        <v>#DIV/0!</v>
      </c>
      <c r="AJ271" s="3" t="e">
        <f t="shared" si="13"/>
        <v>#DIV/0!</v>
      </c>
      <c r="AK271" s="36" t="e">
        <f t="shared" si="14"/>
        <v>#DIV/0!</v>
      </c>
      <c r="AL271" s="36" t="e">
        <f t="shared" si="40"/>
        <v>#DIV/0!</v>
      </c>
      <c r="AM271" s="36" t="e">
        <f t="shared" si="18"/>
        <v>#DIV/0!</v>
      </c>
      <c r="AP271" s="32">
        <v>59</v>
      </c>
      <c r="AQ271" s="1" t="s">
        <v>106</v>
      </c>
      <c r="AR271"/>
      <c r="AS271" s="5">
        <v>25076.559150000001</v>
      </c>
      <c r="AT271" s="5">
        <v>-25386.90177</v>
      </c>
      <c r="AU271" s="5">
        <v>10970.11822</v>
      </c>
      <c r="AV271" s="5">
        <v>-2435.5887200000002</v>
      </c>
      <c r="AW271" s="5">
        <v>272.73633000000001</v>
      </c>
      <c r="AX271" s="5">
        <v>-12.20349</v>
      </c>
      <c r="AY271" s="5"/>
      <c r="AZ271" s="5"/>
      <c r="BA271" s="5"/>
      <c r="BB271" s="5"/>
      <c r="BC271" s="5" t="s">
        <v>128</v>
      </c>
      <c r="BD271" s="5">
        <v>-58200.971669999999</v>
      </c>
      <c r="BE271" s="5">
        <v>9797.9656799999993</v>
      </c>
      <c r="BF271" s="5"/>
      <c r="BG271" s="5"/>
      <c r="BH271" s="5"/>
      <c r="BO271">
        <v>-4221.2274100000004</v>
      </c>
      <c r="BP271">
        <v>3432.5533700000001</v>
      </c>
      <c r="BQ271">
        <v>-702.64829999999995</v>
      </c>
      <c r="BR271">
        <v>43.74474</v>
      </c>
      <c r="BY271" s="5" t="s">
        <v>128</v>
      </c>
      <c r="BZ271">
        <v>-27812.992300000002</v>
      </c>
      <c r="CA271">
        <v>4389.3391199999996</v>
      </c>
      <c r="CK271">
        <v>6733.4015099999997</v>
      </c>
      <c r="CL271">
        <v>-1860.9272100000001</v>
      </c>
      <c r="CM271">
        <v>172.80795000000001</v>
      </c>
      <c r="CN271">
        <v>-4.9685600000000001</v>
      </c>
      <c r="CU271" s="5" t="s">
        <v>128</v>
      </c>
      <c r="CV271">
        <v>-11016.483490000001</v>
      </c>
      <c r="CW271">
        <v>1686.94677</v>
      </c>
      <c r="DG271">
        <v>14361.47567</v>
      </c>
      <c r="DH271">
        <v>-6411.6404199999997</v>
      </c>
      <c r="DI271">
        <v>1231.0560399999999</v>
      </c>
      <c r="DJ271">
        <v>-122.6084</v>
      </c>
      <c r="DK271">
        <v>6.2229999999999999</v>
      </c>
      <c r="DL271">
        <v>-0.12753999999999999</v>
      </c>
      <c r="DR271" s="46">
        <v>2779.3001199999999</v>
      </c>
      <c r="DS271" s="46">
        <v>-645.97589000000005</v>
      </c>
      <c r="DT271" s="46">
        <v>64.796589999999995</v>
      </c>
      <c r="DU271" s="46">
        <v>-3.4028700000000001</v>
      </c>
      <c r="DV271" s="46">
        <v>9.2090000000000005E-2</v>
      </c>
      <c r="DW271" s="46">
        <v>-1.0200000000000001E-3</v>
      </c>
    </row>
    <row r="272" spans="2:127" ht="15.95" customHeight="1">
      <c r="B272" s="6">
        <f t="shared" si="43"/>
        <v>84798.626811458496</v>
      </c>
      <c r="C272" s="6">
        <f t="shared" ref="C272:C277" si="58">BD272+BE272*$B$15+BF272*$B$15^2+BG272*$B$15^3+BH272*$B$15^4+BI272*$B$15^5+BJ272*$B$15^6+BK272*$B$15^7+BL272*$B$15^8+BM272*$B$15^9</f>
        <v>-1002.3081813690078</v>
      </c>
      <c r="D272" s="6">
        <f t="shared" ref="D272:D277" si="59">BO272+BP272*$B$15</f>
        <v>16320.419537040012</v>
      </c>
      <c r="E272" s="6">
        <f t="shared" ref="E272:E280" si="60">BZ272+CA272*$B$15+CB272*$B$15^2+CC272*$B$15^3+CD272*$B$15^4+CE272*$B$15^5+CF272*$B$15^6+CG272*$B$15^7+CH272*$B$15^8+CI272*$B$15^9</f>
        <v>406.6385855891067</v>
      </c>
      <c r="F272" s="6">
        <f t="shared" ref="F272:F280" si="61">CK272+CL272*$B$15</f>
        <v>5215.184202319997</v>
      </c>
      <c r="G272" s="6">
        <f t="shared" ref="G272:G295" si="62">CV272+CW272*$B$15+CX272*$B$15^2+CY272*$B$15^3+CZ272*$B$15^4+DA272*$B$15^5+DB272*$B$15^6+DC272*$B$15^7+DD272*$B$15^8+DE272*$B$15^9</f>
        <v>402.52733347254252</v>
      </c>
      <c r="H272" s="6">
        <f t="shared" ref="H272:H295" si="63">DG272+DH272*$B$15</f>
        <v>1869.9306103999988</v>
      </c>
      <c r="I272" s="6">
        <f t="shared" si="48"/>
        <v>399.88582878987779</v>
      </c>
      <c r="N272" s="15">
        <v>60</v>
      </c>
      <c r="O272" s="2" t="s">
        <v>107</v>
      </c>
      <c r="P272" s="4">
        <v>144.24</v>
      </c>
      <c r="Q272" s="45">
        <f>G42</f>
        <v>0</v>
      </c>
      <c r="R272" s="6">
        <f>IF($B$15&lt;2.985988,B272,IF($B$15&lt;6.201692,C272,IF($B$15&lt;6.23894,D272,IF($B$15&lt;6.714778,E272,IF($B$15&lt;6.755107,F272,IF($B$15&lt;7.118874,G272,IF($B$15&lt;7.16163,H272,IF($B$15&lt;20.2,I272))))))))</f>
        <v>399.88582878987779</v>
      </c>
      <c r="S272" s="6">
        <f t="shared" si="49"/>
        <v>0</v>
      </c>
      <c r="T272" s="6" t="e">
        <f t="shared" si="50"/>
        <v>#DIV/0!</v>
      </c>
      <c r="U272" s="6" t="e">
        <f t="shared" ref="U272:U285" si="64">T272/100*R272</f>
        <v>#DIV/0!</v>
      </c>
      <c r="V272" s="49" t="s">
        <v>188</v>
      </c>
      <c r="W272" s="3"/>
      <c r="X272">
        <v>0.70499999999999996</v>
      </c>
      <c r="Y272" s="3" t="e">
        <f t="shared" si="25"/>
        <v>#DIV/0!</v>
      </c>
      <c r="Z272" s="36" t="e">
        <f t="shared" si="16"/>
        <v>#DIV/0!</v>
      </c>
      <c r="AA272" s="3" t="e">
        <f t="shared" si="36"/>
        <v>#DIV/0!</v>
      </c>
      <c r="AB272" s="36" t="e">
        <f t="shared" si="8"/>
        <v>#DIV/0!</v>
      </c>
      <c r="AC272" s="3" t="e">
        <f t="shared" si="9"/>
        <v>#DIV/0!</v>
      </c>
      <c r="AD272" s="36" t="e">
        <f t="shared" si="10"/>
        <v>#DIV/0!</v>
      </c>
      <c r="AE272" s="36" t="e">
        <f t="shared" si="39"/>
        <v>#DIV/0!</v>
      </c>
      <c r="AF272" s="36" t="e">
        <f t="shared" si="37"/>
        <v>#DIV/0!</v>
      </c>
      <c r="AG272" s="3" t="e">
        <f t="shared" si="38"/>
        <v>#DIV/0!</v>
      </c>
      <c r="AH272" s="36" t="e">
        <f t="shared" si="12"/>
        <v>#DIV/0!</v>
      </c>
      <c r="AI272" s="36" t="e">
        <f t="shared" si="17"/>
        <v>#DIV/0!</v>
      </c>
      <c r="AJ272" s="3" t="e">
        <f t="shared" si="13"/>
        <v>#DIV/0!</v>
      </c>
      <c r="AK272" s="36" t="e">
        <f t="shared" si="14"/>
        <v>#DIV/0!</v>
      </c>
      <c r="AL272" s="36" t="e">
        <f t="shared" si="40"/>
        <v>#DIV/0!</v>
      </c>
      <c r="AM272" s="36" t="e">
        <f t="shared" si="18"/>
        <v>#DIV/0!</v>
      </c>
      <c r="AP272" s="32">
        <v>60</v>
      </c>
      <c r="AQ272" s="1" t="s">
        <v>107</v>
      </c>
      <c r="AR272"/>
      <c r="AS272" s="5">
        <v>34502.463960000001</v>
      </c>
      <c r="AT272" s="5">
        <v>-39305.494489999997</v>
      </c>
      <c r="AU272" s="5">
        <v>18826.66662</v>
      </c>
      <c r="AV272" s="5">
        <v>-4465.8676500000001</v>
      </c>
      <c r="AW272" s="5">
        <v>492.19353999999998</v>
      </c>
      <c r="AX272" s="5">
        <v>-17.465900000000001</v>
      </c>
      <c r="AY272" s="5"/>
      <c r="AZ272" s="5"/>
      <c r="BA272" s="5"/>
      <c r="BB272" s="5"/>
      <c r="BC272" s="5"/>
      <c r="BD272" s="5">
        <v>18864.245859999999</v>
      </c>
      <c r="BE272" s="5">
        <v>-16443.07619</v>
      </c>
      <c r="BF272" s="5">
        <v>6130.4829900000004</v>
      </c>
      <c r="BG272" s="5">
        <v>-1182.16578</v>
      </c>
      <c r="BH272" s="5">
        <v>115.98978</v>
      </c>
      <c r="BI272" s="5">
        <v>-4.5901300000000003</v>
      </c>
      <c r="BN272" s="5" t="s">
        <v>128</v>
      </c>
      <c r="BO272">
        <v>-54082.295209999997</v>
      </c>
      <c r="BP272">
        <v>8747.8522300000004</v>
      </c>
      <c r="BZ272">
        <v>1820.66878</v>
      </c>
      <c r="CA272">
        <v>371.49067000000002</v>
      </c>
      <c r="CB272">
        <v>-181.91767999999999</v>
      </c>
      <c r="CC272">
        <v>14.15592</v>
      </c>
      <c r="CJ272" s="5" t="s">
        <v>128</v>
      </c>
      <c r="CK272">
        <v>-23860.50819</v>
      </c>
      <c r="CL272">
        <v>3612.7848399999998</v>
      </c>
      <c r="CV272">
        <v>-4307.2113900000004</v>
      </c>
      <c r="CW272">
        <v>2999.2575900000002</v>
      </c>
      <c r="CX272">
        <v>-534.77963</v>
      </c>
      <c r="CY272">
        <v>29.177800000000001</v>
      </c>
      <c r="DF272" s="5" t="s">
        <v>128</v>
      </c>
      <c r="DG272">
        <v>-10265.315000000001</v>
      </c>
      <c r="DH272">
        <v>1507.8585499999999</v>
      </c>
      <c r="DR272" s="46">
        <v>5254.2017400000004</v>
      </c>
      <c r="DS272" s="46">
        <v>-1494.7718299999999</v>
      </c>
      <c r="DT272" s="46">
        <v>180.41372999999999</v>
      </c>
      <c r="DU272" s="46">
        <v>-11.192920000000001</v>
      </c>
      <c r="DV272" s="46">
        <v>0.35142000000000001</v>
      </c>
      <c r="DW272" s="46">
        <v>-4.4299999999999999E-3</v>
      </c>
    </row>
    <row r="273" spans="2:171" ht="15.95" customHeight="1">
      <c r="B273" s="6">
        <f t="shared" si="43"/>
        <v>1213958.4688421004</v>
      </c>
      <c r="C273" s="6">
        <f t="shared" si="58"/>
        <v>-432.19042814306158</v>
      </c>
      <c r="D273" s="6">
        <f t="shared" si="59"/>
        <v>31177.464951040005</v>
      </c>
      <c r="E273" s="6">
        <f t="shared" si="60"/>
        <v>313.85967453320654</v>
      </c>
      <c r="F273" s="6">
        <f t="shared" si="61"/>
        <v>3805.3367298400008</v>
      </c>
      <c r="G273" s="6">
        <f t="shared" si="62"/>
        <v>381.18544280394599</v>
      </c>
      <c r="H273" s="6">
        <f t="shared" si="63"/>
        <v>1310.2418958400012</v>
      </c>
      <c r="I273" s="6">
        <f t="shared" si="48"/>
        <v>422.07383078078317</v>
      </c>
      <c r="N273" s="15">
        <v>61</v>
      </c>
      <c r="O273" s="2" t="s">
        <v>108</v>
      </c>
      <c r="P273" s="4">
        <v>145</v>
      </c>
      <c r="Q273" s="45">
        <f>H42</f>
        <v>0</v>
      </c>
      <c r="R273" s="6">
        <f>IF($B$15&lt;3.0461571,B273,IF($B$15&lt;6.452841,C273,IF($B$15&lt;6.469,D273,IF($B$15&lt;7.005787,E273,IF($B$15&lt;7.047864,F273,IF($B$15&lt;7.420472,G273,IF($B$15&lt;7.465039,H273,IF($B$15&lt;20.2,I273))))))))</f>
        <v>422.07383078078317</v>
      </c>
      <c r="S273" s="6">
        <f t="shared" si="49"/>
        <v>0</v>
      </c>
      <c r="T273" s="6" t="e">
        <f t="shared" si="50"/>
        <v>#DIV/0!</v>
      </c>
      <c r="U273" s="6" t="e">
        <f t="shared" si="64"/>
        <v>#DIV/0!</v>
      </c>
      <c r="V273" s="49" t="s">
        <v>188</v>
      </c>
      <c r="W273" s="3"/>
      <c r="X273">
        <v>0.7</v>
      </c>
      <c r="Y273" s="3" t="e">
        <f t="shared" si="25"/>
        <v>#DIV/0!</v>
      </c>
      <c r="Z273" s="36" t="e">
        <f t="shared" si="16"/>
        <v>#DIV/0!</v>
      </c>
      <c r="AA273" s="3" t="e">
        <f t="shared" si="36"/>
        <v>#DIV/0!</v>
      </c>
      <c r="AB273" s="36" t="e">
        <f t="shared" si="8"/>
        <v>#DIV/0!</v>
      </c>
      <c r="AC273" s="3" t="e">
        <f t="shared" si="9"/>
        <v>#DIV/0!</v>
      </c>
      <c r="AD273" s="36" t="e">
        <f t="shared" si="10"/>
        <v>#DIV/0!</v>
      </c>
      <c r="AE273" s="36" t="e">
        <f t="shared" si="39"/>
        <v>#DIV/0!</v>
      </c>
      <c r="AF273" s="36" t="e">
        <f t="shared" si="37"/>
        <v>#DIV/0!</v>
      </c>
      <c r="AG273" s="3" t="e">
        <f t="shared" si="38"/>
        <v>#DIV/0!</v>
      </c>
      <c r="AH273" s="36" t="e">
        <f t="shared" si="12"/>
        <v>#DIV/0!</v>
      </c>
      <c r="AI273" s="36" t="e">
        <f t="shared" si="17"/>
        <v>#DIV/0!</v>
      </c>
      <c r="AJ273" s="3" t="e">
        <f t="shared" si="13"/>
        <v>#DIV/0!</v>
      </c>
      <c r="AK273" s="36" t="e">
        <f t="shared" si="14"/>
        <v>#DIV/0!</v>
      </c>
      <c r="AL273" s="36" t="e">
        <f t="shared" si="40"/>
        <v>#DIV/0!</v>
      </c>
      <c r="AM273" s="36" t="e">
        <f t="shared" si="18"/>
        <v>#DIV/0!</v>
      </c>
      <c r="AP273" s="32">
        <v>61</v>
      </c>
      <c r="AQ273" s="1" t="s">
        <v>108</v>
      </c>
      <c r="AR273"/>
      <c r="AS273" s="5">
        <v>1806.9173900000001</v>
      </c>
      <c r="AT273" s="5">
        <v>24650.109280000001</v>
      </c>
      <c r="AU273" s="5">
        <v>-30226.872520000001</v>
      </c>
      <c r="AV273" s="5">
        <v>14115.972680000001</v>
      </c>
      <c r="AW273" s="5">
        <v>-2994.48693</v>
      </c>
      <c r="AX273" s="5">
        <v>242.15233000000001</v>
      </c>
      <c r="AY273" s="5"/>
      <c r="AZ273" s="5"/>
      <c r="BA273" s="5"/>
      <c r="BB273" s="5"/>
      <c r="BC273" s="5"/>
      <c r="BD273" s="5">
        <v>18417.613069999999</v>
      </c>
      <c r="BE273" s="5">
        <v>-15431.72615</v>
      </c>
      <c r="BF273" s="5">
        <v>5511.5308400000004</v>
      </c>
      <c r="BG273" s="5">
        <v>-1015.32426</v>
      </c>
      <c r="BH273" s="5">
        <v>94.982849999999999</v>
      </c>
      <c r="BI273" s="5">
        <v>-3.5793900000000001</v>
      </c>
      <c r="BN273" s="5" t="s">
        <v>128</v>
      </c>
      <c r="BO273">
        <v>-125296.20948</v>
      </c>
      <c r="BP273">
        <v>19442.553980000001</v>
      </c>
      <c r="BZ273">
        <v>4335.8845099999999</v>
      </c>
      <c r="CA273">
        <v>-869.6549</v>
      </c>
      <c r="CB273">
        <v>26.993680000000001</v>
      </c>
      <c r="CC273">
        <v>2.3568699999999998</v>
      </c>
      <c r="CJ273" s="5" t="s">
        <v>128</v>
      </c>
      <c r="CK273">
        <v>-22656.644850000001</v>
      </c>
      <c r="CL273">
        <v>3288.0195800000001</v>
      </c>
      <c r="CV273">
        <v>-5099.6431400000001</v>
      </c>
      <c r="CW273">
        <v>3151.22012</v>
      </c>
      <c r="CX273">
        <v>-525.10342000000003</v>
      </c>
      <c r="CY273">
        <v>27.108560000000001</v>
      </c>
      <c r="DF273" s="5" t="s">
        <v>128</v>
      </c>
      <c r="DG273">
        <v>-9768.4665399999994</v>
      </c>
      <c r="DH273">
        <v>1376.57908</v>
      </c>
      <c r="DR273" s="46">
        <v>5183.6975899999998</v>
      </c>
      <c r="DS273" s="46">
        <v>-1437.83116</v>
      </c>
      <c r="DT273" s="46">
        <v>169.40176</v>
      </c>
      <c r="DU273" s="46">
        <v>-10.273669999999999</v>
      </c>
      <c r="DV273" s="46">
        <v>0.31580999999999998</v>
      </c>
      <c r="DW273" s="46">
        <v>-3.8999999999999998E-3</v>
      </c>
    </row>
    <row r="274" spans="2:171" ht="15.95" customHeight="1">
      <c r="B274" s="6">
        <f t="shared" si="43"/>
        <v>-1042530.9233100573</v>
      </c>
      <c r="C274" s="6">
        <f t="shared" si="58"/>
        <v>-225.99257821319043</v>
      </c>
      <c r="D274" s="6">
        <f t="shared" si="59"/>
        <v>9679.7581674399989</v>
      </c>
      <c r="E274" s="6">
        <f t="shared" si="60"/>
        <v>294.06635734876204</v>
      </c>
      <c r="F274" s="6">
        <f t="shared" si="61"/>
        <v>2504.8016616800014</v>
      </c>
      <c r="G274" s="6">
        <f t="shared" si="62"/>
        <v>372.65230854629954</v>
      </c>
      <c r="H274" s="6">
        <f t="shared" si="63"/>
        <v>801.00052791999951</v>
      </c>
      <c r="I274" s="6">
        <f t="shared" si="48"/>
        <v>430.31260506112284</v>
      </c>
      <c r="N274" s="15">
        <v>62</v>
      </c>
      <c r="O274" s="2" t="s">
        <v>109</v>
      </c>
      <c r="P274" s="4">
        <v>150.36000000000001</v>
      </c>
      <c r="Q274" s="45">
        <f>I42</f>
        <v>0</v>
      </c>
      <c r="R274" s="6">
        <f>IF($B$15&lt;2.986,B274,IF($B$15&lt;6.709484,C274,IF($B$15&lt;6.74978,D274,IF($B$15&lt;7.30449,E274,IF($B$15&lt;7.34836,F274,IF($B$15&lt;7.729063,G274,IF($B$15&lt;7.775484,H274,IF($B$15&lt;20.2,I274))))))))</f>
        <v>430.31260506112284</v>
      </c>
      <c r="S274" s="6">
        <f t="shared" si="49"/>
        <v>0</v>
      </c>
      <c r="T274" s="6" t="e">
        <f t="shared" si="50"/>
        <v>#DIV/0!</v>
      </c>
      <c r="U274" s="6" t="e">
        <f t="shared" si="64"/>
        <v>#DIV/0!</v>
      </c>
      <c r="V274" s="49" t="s">
        <v>188</v>
      </c>
      <c r="W274" s="3"/>
      <c r="X274">
        <v>0.69499999999999995</v>
      </c>
      <c r="Y274" s="3" t="e">
        <f t="shared" si="25"/>
        <v>#DIV/0!</v>
      </c>
      <c r="Z274" s="36" t="e">
        <f t="shared" si="16"/>
        <v>#DIV/0!</v>
      </c>
      <c r="AA274" s="3" t="e">
        <f t="shared" si="36"/>
        <v>#DIV/0!</v>
      </c>
      <c r="AB274" s="36" t="e">
        <f t="shared" si="8"/>
        <v>#DIV/0!</v>
      </c>
      <c r="AC274" s="3" t="e">
        <f t="shared" si="9"/>
        <v>#DIV/0!</v>
      </c>
      <c r="AD274" s="36" t="e">
        <f t="shared" si="10"/>
        <v>#DIV/0!</v>
      </c>
      <c r="AE274" s="36" t="e">
        <f t="shared" si="39"/>
        <v>#DIV/0!</v>
      </c>
      <c r="AF274" s="36" t="e">
        <f t="shared" si="37"/>
        <v>#DIV/0!</v>
      </c>
      <c r="AG274" s="3" t="e">
        <f t="shared" si="38"/>
        <v>#DIV/0!</v>
      </c>
      <c r="AH274" s="36" t="e">
        <f t="shared" si="12"/>
        <v>#DIV/0!</v>
      </c>
      <c r="AI274" s="36" t="e">
        <f t="shared" si="17"/>
        <v>#DIV/0!</v>
      </c>
      <c r="AJ274" s="3" t="e">
        <f t="shared" si="13"/>
        <v>#DIV/0!</v>
      </c>
      <c r="AK274" s="36" t="e">
        <f t="shared" si="14"/>
        <v>#DIV/0!</v>
      </c>
      <c r="AL274" s="36" t="e">
        <f t="shared" si="40"/>
        <v>#DIV/0!</v>
      </c>
      <c r="AM274" s="36" t="e">
        <f t="shared" si="18"/>
        <v>#DIV/0!</v>
      </c>
      <c r="AP274" s="32">
        <v>62</v>
      </c>
      <c r="AQ274" s="1" t="s">
        <v>109</v>
      </c>
      <c r="AR274"/>
      <c r="AS274" s="5">
        <v>41972.612110000002</v>
      </c>
      <c r="AT274" s="5">
        <v>-57943.089220000002</v>
      </c>
      <c r="AU274" s="5">
        <v>37280.727939999997</v>
      </c>
      <c r="AV274" s="5">
        <v>-13248.26412</v>
      </c>
      <c r="AW274" s="5">
        <v>2506.1407899999999</v>
      </c>
      <c r="AX274" s="5">
        <v>-196.68516</v>
      </c>
      <c r="AY274" s="5"/>
      <c r="AZ274" s="5"/>
      <c r="BA274" s="5"/>
      <c r="BB274" s="5"/>
      <c r="BC274" s="5"/>
      <c r="BD274" s="5">
        <v>18111.796630000001</v>
      </c>
      <c r="BE274" s="5">
        <v>-14860.19493</v>
      </c>
      <c r="BF274" s="5">
        <v>5188.1223399999999</v>
      </c>
      <c r="BG274" s="5">
        <v>-932.75027</v>
      </c>
      <c r="BH274" s="5">
        <v>85.033900000000003</v>
      </c>
      <c r="BI274" s="5">
        <v>-3.1187100000000001</v>
      </c>
      <c r="BN274" s="5" t="s">
        <v>128</v>
      </c>
      <c r="BO274">
        <v>-47601.103430000003</v>
      </c>
      <c r="BP274">
        <v>7117.4032800000004</v>
      </c>
      <c r="BZ274">
        <v>5105.3455000000004</v>
      </c>
      <c r="CA274">
        <v>-1174.25621</v>
      </c>
      <c r="CB274">
        <v>71.253799999999998</v>
      </c>
      <c r="CC274">
        <v>4.6050000000000001E-2</v>
      </c>
      <c r="CJ274" s="5" t="s">
        <v>128</v>
      </c>
      <c r="CK274">
        <v>-20844.322810000001</v>
      </c>
      <c r="CL274">
        <v>2901.2331600000002</v>
      </c>
      <c r="CV274">
        <v>-4167.3262500000001</v>
      </c>
      <c r="CW274">
        <v>2574.1596300000001</v>
      </c>
      <c r="CX274">
        <v>-417.42243999999999</v>
      </c>
      <c r="CY274">
        <v>20.83314</v>
      </c>
      <c r="DF274" s="5" t="s">
        <v>128</v>
      </c>
      <c r="DG274">
        <v>-9027.3340900000003</v>
      </c>
      <c r="DH274">
        <v>1221.2145399999999</v>
      </c>
      <c r="DR274" s="46">
        <v>4897.0919100000001</v>
      </c>
      <c r="DS274" s="46">
        <v>-1318.2615499999999</v>
      </c>
      <c r="DT274" s="46">
        <v>150.86474999999999</v>
      </c>
      <c r="DU274" s="46">
        <v>-8.8971900000000002</v>
      </c>
      <c r="DV274" s="46">
        <v>0.26632</v>
      </c>
      <c r="DW274" s="46">
        <v>-3.2100000000000002E-3</v>
      </c>
    </row>
    <row r="275" spans="2:171" ht="15.95" customHeight="1">
      <c r="B275" s="6">
        <f t="shared" si="43"/>
        <v>-3171413.9704494216</v>
      </c>
      <c r="C275" s="6">
        <f t="shared" si="58"/>
        <v>-88.809410958783701</v>
      </c>
      <c r="D275" s="6">
        <f t="shared" si="59"/>
        <v>7156.423510239998</v>
      </c>
      <c r="E275" s="6">
        <f t="shared" si="60"/>
        <v>293.20455280089027</v>
      </c>
      <c r="F275" s="6">
        <f t="shared" si="61"/>
        <v>1482.1393993599995</v>
      </c>
      <c r="G275" s="6">
        <f t="shared" si="62"/>
        <v>389.73629481707394</v>
      </c>
      <c r="H275" s="6">
        <f t="shared" si="63"/>
        <v>394.80135775999952</v>
      </c>
      <c r="I275" s="6">
        <f t="shared" si="48"/>
        <v>449.77129323712063</v>
      </c>
      <c r="N275" s="15">
        <v>63</v>
      </c>
      <c r="O275" s="2" t="s">
        <v>110</v>
      </c>
      <c r="P275" s="4">
        <v>151.96</v>
      </c>
      <c r="Q275" s="45">
        <f>J42</f>
        <v>0</v>
      </c>
      <c r="R275" s="6">
        <f>IF($B$15&lt;2.986,B275,IF($B$15&lt;6.96992,C275,IF($B$15&lt;7.011785,D275,IF($B$15&lt;7.609483,E275,IF($B$15&lt;7.655185,F275,IF($B$15&lt;8.043948,G275,IF($B$15&lt;8.09226,H275,IF($B$15&lt;20.2,I275))))))))</f>
        <v>394.80135775999952</v>
      </c>
      <c r="S275" s="6">
        <f t="shared" si="49"/>
        <v>0</v>
      </c>
      <c r="T275" s="6" t="e">
        <f t="shared" si="50"/>
        <v>#DIV/0!</v>
      </c>
      <c r="U275" s="6" t="e">
        <f t="shared" si="64"/>
        <v>#DIV/0!</v>
      </c>
      <c r="V275" s="49" t="s">
        <v>188</v>
      </c>
      <c r="W275" s="3"/>
      <c r="X275">
        <v>0.69</v>
      </c>
      <c r="Y275" s="3" t="e">
        <f t="shared" si="25"/>
        <v>#DIV/0!</v>
      </c>
      <c r="Z275" s="36" t="e">
        <f t="shared" si="16"/>
        <v>#DIV/0!</v>
      </c>
      <c r="AA275" s="3" t="e">
        <f t="shared" si="36"/>
        <v>#DIV/0!</v>
      </c>
      <c r="AB275" s="36" t="e">
        <f t="shared" si="8"/>
        <v>#DIV/0!</v>
      </c>
      <c r="AC275" s="3" t="e">
        <f t="shared" si="9"/>
        <v>#DIV/0!</v>
      </c>
      <c r="AD275" s="36" t="e">
        <f t="shared" si="10"/>
        <v>#DIV/0!</v>
      </c>
      <c r="AE275" s="36" t="e">
        <f t="shared" si="39"/>
        <v>#DIV/0!</v>
      </c>
      <c r="AF275" s="36" t="e">
        <f t="shared" si="37"/>
        <v>#DIV/0!</v>
      </c>
      <c r="AG275" s="3" t="e">
        <f t="shared" si="38"/>
        <v>#DIV/0!</v>
      </c>
      <c r="AH275" s="36" t="e">
        <f t="shared" si="12"/>
        <v>#DIV/0!</v>
      </c>
      <c r="AI275" s="36" t="e">
        <f t="shared" si="17"/>
        <v>#DIV/0!</v>
      </c>
      <c r="AJ275" s="3" t="e">
        <f t="shared" si="13"/>
        <v>#DIV/0!</v>
      </c>
      <c r="AK275" s="36" t="e">
        <f t="shared" si="14"/>
        <v>#DIV/0!</v>
      </c>
      <c r="AL275" s="36" t="e">
        <f t="shared" si="40"/>
        <v>#DIV/0!</v>
      </c>
      <c r="AM275" s="36" t="e">
        <f t="shared" si="18"/>
        <v>#DIV/0!</v>
      </c>
      <c r="AP275" s="32">
        <v>63</v>
      </c>
      <c r="AQ275" s="1" t="s">
        <v>110</v>
      </c>
      <c r="AR275"/>
      <c r="AS275" s="5">
        <v>88159.856090000001</v>
      </c>
      <c r="AT275" s="5">
        <v>-149542.87966000001</v>
      </c>
      <c r="AU275" s="5">
        <v>109852.65482</v>
      </c>
      <c r="AV275" s="5">
        <v>-41851.554340000002</v>
      </c>
      <c r="AW275" s="5">
        <v>8109.4616800000003</v>
      </c>
      <c r="AX275" s="5">
        <v>-633.12009</v>
      </c>
      <c r="AY275" s="5"/>
      <c r="AZ275" s="5"/>
      <c r="BA275" s="5"/>
      <c r="BB275" s="5"/>
      <c r="BC275" s="5"/>
      <c r="BD275" s="5">
        <v>17976.8148</v>
      </c>
      <c r="BE275" s="5">
        <v>-14403.496220000001</v>
      </c>
      <c r="BF275" s="5">
        <v>4907.7385199999999</v>
      </c>
      <c r="BG275" s="5">
        <v>-860.48924999999997</v>
      </c>
      <c r="BH275" s="5">
        <v>76.444050000000004</v>
      </c>
      <c r="BI275" s="5">
        <v>-2.7299500000000001</v>
      </c>
      <c r="BN275" s="5" t="s">
        <v>128</v>
      </c>
      <c r="BO275">
        <v>-45170.379820000002</v>
      </c>
      <c r="BP275">
        <v>6501.8393800000003</v>
      </c>
      <c r="BZ275">
        <v>4220.2914199999996</v>
      </c>
      <c r="CA275">
        <v>-786.54066999999998</v>
      </c>
      <c r="CB275">
        <v>19.703340000000001</v>
      </c>
      <c r="CC275">
        <v>2.1616399999999998</v>
      </c>
      <c r="CJ275" s="5" t="s">
        <v>128</v>
      </c>
      <c r="CK275">
        <v>-19691.803100000001</v>
      </c>
      <c r="CL275">
        <v>2630.9570699999999</v>
      </c>
      <c r="CV275">
        <v>-3648.2038200000002</v>
      </c>
      <c r="CW275">
        <v>2210.8789700000002</v>
      </c>
      <c r="CX275">
        <v>-346.13173</v>
      </c>
      <c r="CY275">
        <v>16.6206</v>
      </c>
      <c r="DF275" s="5" t="s">
        <v>128</v>
      </c>
      <c r="DG275">
        <v>-8545.7549999999992</v>
      </c>
      <c r="DH275">
        <v>1110.9041199999999</v>
      </c>
      <c r="DR275" s="46">
        <v>4842.7347499999996</v>
      </c>
      <c r="DS275" s="46">
        <v>-1275.00765</v>
      </c>
      <c r="DT275" s="46">
        <v>142.78901999999999</v>
      </c>
      <c r="DU275" s="46">
        <v>-8.2462400000000002</v>
      </c>
      <c r="DV275" s="46">
        <v>0.24192</v>
      </c>
      <c r="DW275" s="46">
        <v>-2.8600000000000001E-3</v>
      </c>
    </row>
    <row r="276" spans="2:171" ht="15.95" customHeight="1">
      <c r="B276" s="6">
        <f t="shared" si="43"/>
        <v>-2246922.1813874729</v>
      </c>
      <c r="C276" s="6">
        <f t="shared" si="58"/>
        <v>10.726988394264481</v>
      </c>
      <c r="D276" s="6">
        <f t="shared" si="59"/>
        <v>4837.4722752000016</v>
      </c>
      <c r="E276" s="6">
        <f t="shared" si="60"/>
        <v>291.76260038610735</v>
      </c>
      <c r="F276" s="6">
        <f t="shared" si="61"/>
        <v>588.94114863999857</v>
      </c>
      <c r="G276" s="6">
        <f t="shared" si="62"/>
        <v>401.01517248491382</v>
      </c>
      <c r="H276" s="6">
        <f t="shared" si="63"/>
        <v>46.0151079999996</v>
      </c>
      <c r="I276" s="6">
        <f t="shared" si="48"/>
        <v>458.50353491622297</v>
      </c>
      <c r="N276" s="15">
        <v>64</v>
      </c>
      <c r="O276" s="2" t="s">
        <v>111</v>
      </c>
      <c r="P276" s="4">
        <v>157.25</v>
      </c>
      <c r="Q276" s="45">
        <f>K42</f>
        <v>0</v>
      </c>
      <c r="R276" s="6">
        <f>IF($B$15&lt;2.986,B276,IF($B$15&lt;7.235557,C276,IF($B$15&lt;7.279014,D276,IF($B$15&lt;7.92237,E276,IF($B$15&lt;7.969952,F276,IF($B$15&lt;8.367224,G276,IF($B$15&lt;8.417478,H276,IF($B$15&lt;20.2,I276))))))))</f>
        <v>401.01517248491382</v>
      </c>
      <c r="S276" s="6">
        <f t="shared" si="49"/>
        <v>0</v>
      </c>
      <c r="T276" s="6" t="e">
        <f t="shared" si="50"/>
        <v>#DIV/0!</v>
      </c>
      <c r="U276" s="6" t="e">
        <f t="shared" si="64"/>
        <v>#DIV/0!</v>
      </c>
      <c r="V276" s="49" t="s">
        <v>188</v>
      </c>
      <c r="W276" s="3"/>
      <c r="X276">
        <v>0.68500000000000005</v>
      </c>
      <c r="Y276" s="3" t="e">
        <f t="shared" si="25"/>
        <v>#DIV/0!</v>
      </c>
      <c r="Z276" s="36" t="e">
        <f t="shared" si="16"/>
        <v>#DIV/0!</v>
      </c>
      <c r="AA276" s="3" t="e">
        <f t="shared" si="36"/>
        <v>#DIV/0!</v>
      </c>
      <c r="AB276" s="36" t="e">
        <f t="shared" si="8"/>
        <v>#DIV/0!</v>
      </c>
      <c r="AC276" s="3" t="e">
        <f t="shared" si="9"/>
        <v>#DIV/0!</v>
      </c>
      <c r="AD276" s="36" t="e">
        <f t="shared" si="10"/>
        <v>#DIV/0!</v>
      </c>
      <c r="AE276" s="36" t="e">
        <f t="shared" si="39"/>
        <v>#DIV/0!</v>
      </c>
      <c r="AF276" s="36" t="e">
        <f t="shared" si="37"/>
        <v>#DIV/0!</v>
      </c>
      <c r="AG276" s="3" t="e">
        <f t="shared" si="38"/>
        <v>#DIV/0!</v>
      </c>
      <c r="AH276" s="36" t="e">
        <f t="shared" si="12"/>
        <v>#DIV/0!</v>
      </c>
      <c r="AI276" s="36" t="e">
        <f t="shared" si="17"/>
        <v>#DIV/0!</v>
      </c>
      <c r="AJ276" s="3" t="e">
        <f t="shared" si="13"/>
        <v>#DIV/0!</v>
      </c>
      <c r="AK276" s="36" t="e">
        <f t="shared" si="14"/>
        <v>#DIV/0!</v>
      </c>
      <c r="AL276" s="36" t="e">
        <f t="shared" si="40"/>
        <v>#DIV/0!</v>
      </c>
      <c r="AM276" s="36" t="e">
        <f t="shared" si="18"/>
        <v>#DIV/0!</v>
      </c>
      <c r="AP276" s="32">
        <v>64</v>
      </c>
      <c r="AQ276" s="1" t="s">
        <v>111</v>
      </c>
      <c r="AR276"/>
      <c r="AS276" s="5">
        <v>82931.449049999996</v>
      </c>
      <c r="AT276" s="5">
        <v>-135180.92877</v>
      </c>
      <c r="AU276" s="5">
        <v>95401.078940000007</v>
      </c>
      <c r="AV276" s="5">
        <v>-34934.65365</v>
      </c>
      <c r="AW276" s="5">
        <v>6511.95723</v>
      </c>
      <c r="AX276" s="5">
        <v>-489.57724000000002</v>
      </c>
      <c r="AY276" s="5"/>
      <c r="AZ276" s="5"/>
      <c r="BA276" s="5"/>
      <c r="BB276" s="5"/>
      <c r="BC276" s="5"/>
      <c r="BD276" s="5">
        <v>17245.647819999998</v>
      </c>
      <c r="BE276" s="5">
        <v>-13448.961869999999</v>
      </c>
      <c r="BF276" s="5">
        <v>4457.5975900000003</v>
      </c>
      <c r="BG276" s="5">
        <v>-759.67085999999995</v>
      </c>
      <c r="BH276" s="5">
        <v>65.542270000000002</v>
      </c>
      <c r="BI276" s="5">
        <v>-2.27129</v>
      </c>
      <c r="BN276" s="5" t="s">
        <v>128</v>
      </c>
      <c r="BO276">
        <v>-41716.736219999999</v>
      </c>
      <c r="BP276">
        <v>5784.5686500000002</v>
      </c>
      <c r="BZ276">
        <v>6117.45622</v>
      </c>
      <c r="CA276">
        <v>-1611.2838300000001</v>
      </c>
      <c r="CB276">
        <v>141.47892999999999</v>
      </c>
      <c r="CC276">
        <v>-3.8784299999999998</v>
      </c>
      <c r="CJ276" s="5" t="s">
        <v>128</v>
      </c>
      <c r="CK276">
        <v>-17696.740020000001</v>
      </c>
      <c r="CL276">
        <v>2272.0776799999999</v>
      </c>
      <c r="CV276">
        <v>6671.9438600000003</v>
      </c>
      <c r="CW276">
        <v>-1804.46243</v>
      </c>
      <c r="CX276">
        <v>174.51078000000001</v>
      </c>
      <c r="CY276">
        <v>-5.8544</v>
      </c>
      <c r="DF276" s="5" t="s">
        <v>128</v>
      </c>
      <c r="DG276">
        <v>-7913.2637400000003</v>
      </c>
      <c r="DH276">
        <v>988.976</v>
      </c>
      <c r="DR276">
        <v>4739.9869099999996</v>
      </c>
      <c r="DS276">
        <v>-1227.6785400000001</v>
      </c>
      <c r="DT276">
        <v>135.33436</v>
      </c>
      <c r="DU276">
        <v>-7.6984199999999996</v>
      </c>
      <c r="DV276">
        <v>0.22262999999999999</v>
      </c>
      <c r="DW276">
        <v>-2.5999999999999999E-3</v>
      </c>
    </row>
    <row r="277" spans="2:171" ht="15.95" customHeight="1">
      <c r="B277" s="6">
        <f t="shared" si="43"/>
        <v>-1176317.3758414891</v>
      </c>
      <c r="C277" s="6">
        <f t="shared" si="58"/>
        <v>64.109090716810897</v>
      </c>
      <c r="D277" s="6">
        <f t="shared" si="59"/>
        <v>3003.6826782400021</v>
      </c>
      <c r="E277" s="6">
        <f t="shared" si="60"/>
        <v>306.52949563166931</v>
      </c>
      <c r="F277" s="6">
        <f t="shared" si="61"/>
        <v>-127.94343544000003</v>
      </c>
      <c r="G277" s="6">
        <f t="shared" si="62"/>
        <v>425.89275077794809</v>
      </c>
      <c r="H277" s="6">
        <f t="shared" si="63"/>
        <v>-243.65338928000074</v>
      </c>
      <c r="I277" s="6">
        <f t="shared" si="48"/>
        <v>477.54550466393766</v>
      </c>
      <c r="N277" s="15">
        <v>65</v>
      </c>
      <c r="O277" s="2" t="s">
        <v>112</v>
      </c>
      <c r="P277" s="4">
        <v>158.9254</v>
      </c>
      <c r="Q277" s="45">
        <f>L42</f>
        <v>0</v>
      </c>
      <c r="R277" s="6">
        <f>IF($B$15&lt;2.986,B277,IF($B$15&lt;7.506486,C277,IF($B$15&lt;7.55157,D277,IF($B$15&lt;8.243349,E277,IF($B$15&lt;8.292858,F277,IF($B$15&lt;8.699292,G277,IF($B$15&lt;8.75154,H277,IF($B$15&lt;20.2,I277))))))))</f>
        <v>306.52949563166931</v>
      </c>
      <c r="S277" s="6">
        <f t="shared" si="49"/>
        <v>0</v>
      </c>
      <c r="T277" s="6" t="e">
        <f t="shared" si="50"/>
        <v>#DIV/0!</v>
      </c>
      <c r="U277" s="6" t="e">
        <f t="shared" si="64"/>
        <v>#DIV/0!</v>
      </c>
      <c r="V277" s="49" t="s">
        <v>188</v>
      </c>
      <c r="W277" s="3"/>
      <c r="X277">
        <v>0.68</v>
      </c>
      <c r="Y277" s="3" t="e">
        <f t="shared" si="25"/>
        <v>#DIV/0!</v>
      </c>
      <c r="Z277" s="36" t="e">
        <f t="shared" si="16"/>
        <v>#DIV/0!</v>
      </c>
      <c r="AA277" s="3" t="e">
        <f t="shared" ref="AA277:AA308" si="65">Z277/SIN((0.5*$H$15*PI()/180))</f>
        <v>#DIV/0!</v>
      </c>
      <c r="AB277" s="36" t="e">
        <f t="shared" si="8"/>
        <v>#DIV/0!</v>
      </c>
      <c r="AC277" s="3" t="e">
        <f t="shared" si="9"/>
        <v>#DIV/0!</v>
      </c>
      <c r="AD277" s="36" t="e">
        <f t="shared" si="10"/>
        <v>#DIV/0!</v>
      </c>
      <c r="AE277" s="36" t="e">
        <f t="shared" si="39"/>
        <v>#DIV/0!</v>
      </c>
      <c r="AF277" s="36" t="e">
        <f t="shared" ref="AF277:AF308" si="66">Y277*SIN($H$15/2*PI()/180)</f>
        <v>#DIV/0!</v>
      </c>
      <c r="AG277" s="3" t="e">
        <f t="shared" ref="AG277:AG308" si="67">AF277/SIN((0.5*$H$15*PI()/180))</f>
        <v>#DIV/0!</v>
      </c>
      <c r="AH277" s="36" t="e">
        <f t="shared" si="12"/>
        <v>#DIV/0!</v>
      </c>
      <c r="AI277" s="36" t="e">
        <f t="shared" si="17"/>
        <v>#DIV/0!</v>
      </c>
      <c r="AJ277" s="3" t="e">
        <f t="shared" si="13"/>
        <v>#DIV/0!</v>
      </c>
      <c r="AK277" s="36" t="e">
        <f t="shared" si="14"/>
        <v>#DIV/0!</v>
      </c>
      <c r="AL277" s="36" t="e">
        <f t="shared" si="40"/>
        <v>#DIV/0!</v>
      </c>
      <c r="AM277" s="36" t="e">
        <f t="shared" si="18"/>
        <v>#DIV/0!</v>
      </c>
      <c r="AP277" s="32">
        <v>65</v>
      </c>
      <c r="AQ277" s="1" t="s">
        <v>112</v>
      </c>
      <c r="AR277"/>
      <c r="AS277" s="5">
        <v>72269.207309999998</v>
      </c>
      <c r="AT277" s="5">
        <v>-109495.25326</v>
      </c>
      <c r="AU277" s="5">
        <v>72098.024810000003</v>
      </c>
      <c r="AV277" s="5">
        <v>-24692.2261</v>
      </c>
      <c r="AW277" s="5">
        <v>4309.9896600000002</v>
      </c>
      <c r="AX277" s="5">
        <v>-303.50063</v>
      </c>
      <c r="AY277" s="5"/>
      <c r="AZ277" s="5"/>
      <c r="BA277" s="5"/>
      <c r="BB277" s="5"/>
      <c r="BC277" s="5"/>
      <c r="BD277" s="5">
        <v>17188.607179999999</v>
      </c>
      <c r="BE277" s="5">
        <v>-13101.22106</v>
      </c>
      <c r="BF277" s="5">
        <v>4242.6693299999997</v>
      </c>
      <c r="BG277" s="5">
        <v>-706.12073999999996</v>
      </c>
      <c r="BH277" s="5">
        <v>59.462940000000003</v>
      </c>
      <c r="BI277" s="5">
        <v>-2.0099800000000001</v>
      </c>
      <c r="BN277" s="5" t="s">
        <v>128</v>
      </c>
      <c r="BO277">
        <v>-39664.07</v>
      </c>
      <c r="BP277">
        <v>5301.65913</v>
      </c>
      <c r="BZ277">
        <v>8411.1987800000006</v>
      </c>
      <c r="CA277">
        <v>-2414.6539699999998</v>
      </c>
      <c r="CB277">
        <v>237.76428000000001</v>
      </c>
      <c r="CC277">
        <v>-7.8109000000000002</v>
      </c>
      <c r="CJ277" s="5" t="s">
        <v>128</v>
      </c>
      <c r="CK277">
        <v>-17249.998810000001</v>
      </c>
      <c r="CL277">
        <v>2127.49197</v>
      </c>
      <c r="CV277">
        <v>-11890.623530000001</v>
      </c>
      <c r="CW277">
        <v>4850.9221399999997</v>
      </c>
      <c r="CX277">
        <v>-618.17881999999997</v>
      </c>
      <c r="CY277">
        <v>25.545089999999998</v>
      </c>
      <c r="DF277" s="5" t="s">
        <v>128</v>
      </c>
      <c r="DG277">
        <v>-7506.3850000000002</v>
      </c>
      <c r="DH277">
        <v>902.42688999999996</v>
      </c>
      <c r="DR277">
        <v>4420.4874600000003</v>
      </c>
      <c r="DS277">
        <v>-1090.1906799999999</v>
      </c>
      <c r="DT277">
        <v>114.30096</v>
      </c>
      <c r="DU277">
        <v>-6.1795499999999999</v>
      </c>
      <c r="DV277">
        <v>0.16979</v>
      </c>
      <c r="DW277">
        <v>-1.8799999999999999E-3</v>
      </c>
    </row>
    <row r="278" spans="2:171" ht="15.95" customHeight="1">
      <c r="B278" s="6">
        <f t="shared" si="43"/>
        <v>-638093.20169317303</v>
      </c>
      <c r="C278" s="6">
        <f t="shared" ref="C278:C295" si="68">BD278+BE278*$B$15</f>
        <v>121573.70169927998</v>
      </c>
      <c r="D278" s="6">
        <f t="shared" ref="D278:D295" si="69">BO278+BP278*$B$15+BQ278*$B$15^2+BR278*$B$15^3+BS278*$B$15^4+BT278*$B$15^5+BU278*$B$15^6+BV278*$B$15^7+BW278*$B$15^8+BX278*$B$15^9</f>
        <v>-154872.74458993739</v>
      </c>
      <c r="E278" s="6">
        <f t="shared" si="60"/>
        <v>98.534364202787401</v>
      </c>
      <c r="F278" s="6">
        <f t="shared" si="61"/>
        <v>1400.8686220800009</v>
      </c>
      <c r="G278" s="6">
        <f t="shared" si="62"/>
        <v>321.79300364001574</v>
      </c>
      <c r="H278" s="6">
        <f t="shared" si="63"/>
        <v>-733.24494696000147</v>
      </c>
      <c r="I278" s="6">
        <f t="shared" si="48"/>
        <v>437.66745091385383</v>
      </c>
      <c r="J278" s="6">
        <f t="shared" ref="J278:J295" si="70">EC278+ED278*$B$15</f>
        <v>-482.8272020000004</v>
      </c>
      <c r="K278" s="6">
        <f t="shared" ref="K278:K283" si="71">EN278+EO278*$B$15+EP278*$B$15^2+EQ278*$B$15^3+ER278*$B$15^4+ES278*$B$15^5+ET278*$B$15^6+EU278*$B$15^7+EV278*$B$15^8+EW278*$B$15^9</f>
        <v>488.37102534390181</v>
      </c>
      <c r="N278" s="15">
        <v>66</v>
      </c>
      <c r="O278" s="2" t="s">
        <v>113</v>
      </c>
      <c r="P278" s="4">
        <v>162.5</v>
      </c>
      <c r="Q278" s="45">
        <f>M42</f>
        <v>0</v>
      </c>
      <c r="R278" s="6">
        <f>IF($B$15&lt;2.043936,B278,IF($B$15&lt;2.0503613,C278,IF($B$15&lt;2.986,D278,IF($B$15&lt;7.78231,E278,IF($B$15&lt;7.82905,F278,IF($B$15&lt;8.572019,G278,IF($B$15&lt;8.6235,H278,IF($B$15&lt;9.036754,I278,IF($B$15&lt;9.091029,J278,IF($B$15&lt;20.2,K278))))))))))</f>
        <v>321.79300364001574</v>
      </c>
      <c r="S278" s="6">
        <f t="shared" si="49"/>
        <v>0</v>
      </c>
      <c r="T278" s="6" t="e">
        <f t="shared" si="50"/>
        <v>#DIV/0!</v>
      </c>
      <c r="U278" s="6" t="e">
        <f t="shared" si="64"/>
        <v>#DIV/0!</v>
      </c>
      <c r="V278" s="49" t="s">
        <v>188</v>
      </c>
      <c r="W278" s="3"/>
      <c r="X278">
        <v>0.67500000000000004</v>
      </c>
      <c r="Y278" s="3" t="e">
        <f t="shared" si="25"/>
        <v>#DIV/0!</v>
      </c>
      <c r="Z278" s="36" t="e">
        <f t="shared" ref="Z278:Z341" si="72">Y278*SIN($F$15*PI()/180)</f>
        <v>#DIV/0!</v>
      </c>
      <c r="AA278" s="3" t="e">
        <f t="shared" si="65"/>
        <v>#DIV/0!</v>
      </c>
      <c r="AB278" s="36" t="e">
        <f t="shared" ref="AB278:AB341" si="73">X278*EXP(-($M$22/10000)*AA278)*100</f>
        <v>#DIV/0!</v>
      </c>
      <c r="AC278" s="3" t="e">
        <f t="shared" ref="AC278:AC341" si="74">Z278/SIN((0.5*$J$15*PI()/180))</f>
        <v>#DIV/0!</v>
      </c>
      <c r="AD278" s="36" t="e">
        <f t="shared" ref="AD278:AD341" si="75">X278*EXP(-($M$22/10000)*AC278)*100</f>
        <v>#DIV/0!</v>
      </c>
      <c r="AE278" s="36" t="e">
        <f t="shared" ref="AE278:AE309" si="76">Z278*(-1)</f>
        <v>#DIV/0!</v>
      </c>
      <c r="AF278" s="36" t="e">
        <f t="shared" si="66"/>
        <v>#DIV/0!</v>
      </c>
      <c r="AG278" s="3" t="e">
        <f t="shared" si="67"/>
        <v>#DIV/0!</v>
      </c>
      <c r="AH278" s="36" t="e">
        <f t="shared" ref="AH278:AH341" si="77">X278*EXP(-($M$22/10000)*AG278)*100</f>
        <v>#DIV/0!</v>
      </c>
      <c r="AI278" s="36" t="e">
        <f t="shared" ref="AI278:AI341" si="78">Y278*SIN($J$15/2*PI()/180)</f>
        <v>#DIV/0!</v>
      </c>
      <c r="AJ278" s="3" t="e">
        <f t="shared" ref="AJ278:AJ341" si="79">AI278/SIN((0.5*$J$15*PI()/180))</f>
        <v>#DIV/0!</v>
      </c>
      <c r="AK278" s="36" t="e">
        <f t="shared" ref="AK278:AK341" si="80">X278*EXP(-($M$22/10000)*AJ278)*100</f>
        <v>#DIV/0!</v>
      </c>
      <c r="AL278" s="36" t="e">
        <f t="shared" ref="AL278:AL309" si="81">AF278*(-1)</f>
        <v>#DIV/0!</v>
      </c>
      <c r="AM278" s="36" t="e">
        <f t="shared" si="18"/>
        <v>#DIV/0!</v>
      </c>
      <c r="AP278" s="32">
        <v>66</v>
      </c>
      <c r="AQ278" s="1" t="s">
        <v>113</v>
      </c>
      <c r="AR278"/>
      <c r="AS278" s="5">
        <v>53690.644260000001</v>
      </c>
      <c r="AT278" s="5">
        <v>-60186.449919999999</v>
      </c>
      <c r="AU278" s="5">
        <v>24352.394079999998</v>
      </c>
      <c r="AV278" s="5">
        <v>-3423.7735699999998</v>
      </c>
      <c r="AW278" s="5"/>
      <c r="AX278" s="5"/>
      <c r="AY278" s="5"/>
      <c r="AZ278" s="5"/>
      <c r="BA278" s="5"/>
      <c r="BB278" s="5"/>
      <c r="BC278" s="5" t="s">
        <v>128</v>
      </c>
      <c r="BD278" s="5">
        <v>-37131.605710000003</v>
      </c>
      <c r="BE278" s="5">
        <v>19719.844359999999</v>
      </c>
      <c r="BF278" s="5"/>
      <c r="BG278" s="5"/>
      <c r="BH278" s="5"/>
      <c r="BO278">
        <v>55595.611349999999</v>
      </c>
      <c r="BP278">
        <v>-73742.347049999997</v>
      </c>
      <c r="BQ278">
        <v>42261.177250000001</v>
      </c>
      <c r="BR278">
        <v>-12453.456330000001</v>
      </c>
      <c r="BS278">
        <v>1833.028</v>
      </c>
      <c r="BT278">
        <v>-105.22001</v>
      </c>
      <c r="BZ278">
        <v>16993.63421</v>
      </c>
      <c r="CA278">
        <v>-12698.3523</v>
      </c>
      <c r="CB278">
        <v>4027.1859800000002</v>
      </c>
      <c r="CC278">
        <v>-655.55944999999997</v>
      </c>
      <c r="CD278">
        <v>53.921080000000003</v>
      </c>
      <c r="CE278">
        <v>-1.77786</v>
      </c>
      <c r="CJ278" s="5" t="s">
        <v>128</v>
      </c>
      <c r="CK278">
        <v>-37214.585919999998</v>
      </c>
      <c r="CL278">
        <v>4798.1429600000001</v>
      </c>
      <c r="CV278">
        <v>7269.4431100000002</v>
      </c>
      <c r="CW278">
        <v>-2001.7061900000001</v>
      </c>
      <c r="CX278">
        <v>190.63018</v>
      </c>
      <c r="CY278">
        <v>-6.1102400000000001</v>
      </c>
      <c r="DF278" s="5" t="s">
        <v>128</v>
      </c>
      <c r="DG278">
        <v>-16133.931790000001</v>
      </c>
      <c r="DH278">
        <v>1913.6042299999999</v>
      </c>
      <c r="DR278">
        <v>-24332.847730000001</v>
      </c>
      <c r="DS278">
        <v>9001.2046399999999</v>
      </c>
      <c r="DT278">
        <v>-1076.7033300000001</v>
      </c>
      <c r="DU278">
        <v>42.333460000000002</v>
      </c>
      <c r="EB278" s="5" t="s">
        <v>128</v>
      </c>
      <c r="EC278">
        <v>-7039.8527100000001</v>
      </c>
      <c r="ED278">
        <v>814.73974999999996</v>
      </c>
      <c r="EN278">
        <v>4064.6827699999999</v>
      </c>
      <c r="EO278">
        <v>-950.40908999999999</v>
      </c>
      <c r="EP278">
        <v>93.926659999999998</v>
      </c>
      <c r="EQ278">
        <v>-4.7536899999999997</v>
      </c>
      <c r="ER278">
        <v>0.12127</v>
      </c>
      <c r="ES278">
        <v>-1.24E-3</v>
      </c>
    </row>
    <row r="279" spans="2:171" ht="15.95" customHeight="1">
      <c r="B279" s="6">
        <f t="shared" si="43"/>
        <v>-1851137.8886203817</v>
      </c>
      <c r="C279" s="6">
        <f t="shared" si="68"/>
        <v>149520.04949992002</v>
      </c>
      <c r="D279" s="6">
        <f t="shared" si="69"/>
        <v>-628081.69801246282</v>
      </c>
      <c r="E279" s="6">
        <f t="shared" si="60"/>
        <v>120.56850566644425</v>
      </c>
      <c r="F279" s="6">
        <f t="shared" si="61"/>
        <v>54.797517200000584</v>
      </c>
      <c r="G279" s="6">
        <f t="shared" si="62"/>
        <v>342.71307022317706</v>
      </c>
      <c r="H279" s="6">
        <f t="shared" si="63"/>
        <v>-1244.4076385600001</v>
      </c>
      <c r="I279" s="6">
        <f>DR279+DS279*$B$15</f>
        <v>439.85190943999999</v>
      </c>
      <c r="J279" s="6">
        <f t="shared" si="70"/>
        <v>-680.11784767999961</v>
      </c>
      <c r="K279" s="6">
        <f t="shared" si="71"/>
        <v>512.93906963386848</v>
      </c>
      <c r="N279" s="15">
        <v>67</v>
      </c>
      <c r="O279" s="2" t="s">
        <v>114</v>
      </c>
      <c r="P279" s="4">
        <v>164.93039999999999</v>
      </c>
      <c r="Q279" s="45">
        <f>N42</f>
        <v>0</v>
      </c>
      <c r="R279" s="6">
        <f>IF($B$15&lt;2.127139,B279,IF($B$15&lt;2.1321947,C279,IF($B$15&lt;3.2179477,D279,IF($B$15&lt;8.063029,E279,IF($B$15&lt;8.111456,F279,IF($B$15&lt;8.908882,G279,IF($B$15&lt;8.962389,H279,IF($B$15&lt;9.384806,I279,IF($B$15&lt;9.441171,J279,IF($B$15&lt;20.2,K279))))))))))</f>
        <v>120.56850566644425</v>
      </c>
      <c r="S279" s="6">
        <f t="shared" si="49"/>
        <v>0</v>
      </c>
      <c r="T279" s="6" t="e">
        <f t="shared" si="50"/>
        <v>#DIV/0!</v>
      </c>
      <c r="U279" s="6" t="e">
        <f t="shared" si="64"/>
        <v>#DIV/0!</v>
      </c>
      <c r="V279" s="49" t="s">
        <v>188</v>
      </c>
      <c r="W279" s="3"/>
      <c r="X279">
        <v>0.67</v>
      </c>
      <c r="Y279" s="3" t="e">
        <f t="shared" si="25"/>
        <v>#DIV/0!</v>
      </c>
      <c r="Z279" s="36" t="e">
        <f t="shared" si="72"/>
        <v>#DIV/0!</v>
      </c>
      <c r="AA279" s="3" t="e">
        <f t="shared" si="65"/>
        <v>#DIV/0!</v>
      </c>
      <c r="AB279" s="36" t="e">
        <f t="shared" si="73"/>
        <v>#DIV/0!</v>
      </c>
      <c r="AC279" s="3" t="e">
        <f t="shared" si="74"/>
        <v>#DIV/0!</v>
      </c>
      <c r="AD279" s="36" t="e">
        <f t="shared" si="75"/>
        <v>#DIV/0!</v>
      </c>
      <c r="AE279" s="36" t="e">
        <f t="shared" si="76"/>
        <v>#DIV/0!</v>
      </c>
      <c r="AF279" s="36" t="e">
        <f t="shared" si="66"/>
        <v>#DIV/0!</v>
      </c>
      <c r="AG279" s="3" t="e">
        <f t="shared" si="67"/>
        <v>#DIV/0!</v>
      </c>
      <c r="AH279" s="36" t="e">
        <f t="shared" si="77"/>
        <v>#DIV/0!</v>
      </c>
      <c r="AI279" s="36" t="e">
        <f t="shared" si="78"/>
        <v>#DIV/0!</v>
      </c>
      <c r="AJ279" s="3" t="e">
        <f t="shared" si="79"/>
        <v>#DIV/0!</v>
      </c>
      <c r="AK279" s="36" t="e">
        <f t="shared" si="80"/>
        <v>#DIV/0!</v>
      </c>
      <c r="AL279" s="36" t="e">
        <f t="shared" si="81"/>
        <v>#DIV/0!</v>
      </c>
      <c r="AM279" s="36" t="e">
        <f t="shared" ref="AM279:AM342" si="82">AI279*(-1)</f>
        <v>#DIV/0!</v>
      </c>
      <c r="AP279" s="32">
        <v>67</v>
      </c>
      <c r="AQ279" s="1" t="s">
        <v>114</v>
      </c>
      <c r="AR279"/>
      <c r="AS279" s="5">
        <v>108492.38082000001</v>
      </c>
      <c r="AT279" s="5">
        <v>-137578.31737</v>
      </c>
      <c r="AU279" s="5">
        <v>60955.618560000003</v>
      </c>
      <c r="AV279" s="5">
        <v>-9209.2408200000009</v>
      </c>
      <c r="AW279" s="5"/>
      <c r="AX279" s="5"/>
      <c r="AY279" s="5"/>
      <c r="AZ279" s="5"/>
      <c r="BA279" s="5"/>
      <c r="BB279" s="5"/>
      <c r="BC279" s="5" t="s">
        <v>128</v>
      </c>
      <c r="BD279" s="5">
        <v>-49618.52403</v>
      </c>
      <c r="BE279" s="5">
        <v>24743.858540000001</v>
      </c>
      <c r="BF279" s="5"/>
      <c r="BG279" s="5"/>
      <c r="BH279" s="5"/>
      <c r="BO279">
        <v>57472.978819999997</v>
      </c>
      <c r="BP279">
        <v>-78193.865319999997</v>
      </c>
      <c r="BQ279">
        <v>47017.496850000003</v>
      </c>
      <c r="BR279">
        <v>-14964.27709</v>
      </c>
      <c r="BS279">
        <v>2472.2796699999999</v>
      </c>
      <c r="BT279">
        <v>-168.01949999999999</v>
      </c>
      <c r="BZ279">
        <v>14985.788479999999</v>
      </c>
      <c r="CA279">
        <v>-10512.72379</v>
      </c>
      <c r="CB279">
        <v>3135.8816099999999</v>
      </c>
      <c r="CC279">
        <v>-481.07503000000003</v>
      </c>
      <c r="CD279">
        <v>37.36786</v>
      </c>
      <c r="CE279">
        <v>-1.16594</v>
      </c>
      <c r="CJ279" s="5" t="s">
        <v>128</v>
      </c>
      <c r="CK279">
        <v>-35300.097869999998</v>
      </c>
      <c r="CL279">
        <v>4393.0038999999997</v>
      </c>
      <c r="CV279">
        <v>14175.575930000001</v>
      </c>
      <c r="CW279">
        <v>-4343.2732800000003</v>
      </c>
      <c r="CX279">
        <v>456.73306000000002</v>
      </c>
      <c r="CY279">
        <v>-16.231349999999999</v>
      </c>
      <c r="DF279" s="5" t="s">
        <v>128</v>
      </c>
      <c r="DG279">
        <v>-15261.13666</v>
      </c>
      <c r="DH279">
        <v>1741.6412800000001</v>
      </c>
      <c r="DQ279" s="5" t="s">
        <v>128</v>
      </c>
      <c r="DR279">
        <v>1255.6895</v>
      </c>
      <c r="DS279">
        <v>-101.37147</v>
      </c>
      <c r="EB279" s="5" t="s">
        <v>128</v>
      </c>
      <c r="EC279">
        <v>-6608.4946799999998</v>
      </c>
      <c r="ED279">
        <v>736.62734</v>
      </c>
      <c r="EN279">
        <v>5389.4162200000001</v>
      </c>
      <c r="EO279">
        <v>-1415.4047399999999</v>
      </c>
      <c r="EP279">
        <v>158.84636</v>
      </c>
      <c r="EQ279">
        <v>-9.2237600000000004</v>
      </c>
      <c r="ER279">
        <v>0.27277000000000001</v>
      </c>
      <c r="ES279">
        <v>-3.2599999999999999E-3</v>
      </c>
    </row>
    <row r="280" spans="2:171" ht="15.95" customHeight="1">
      <c r="B280" s="6">
        <f t="shared" si="43"/>
        <v>-577267.60086784</v>
      </c>
      <c r="C280" s="6">
        <f t="shared" si="68"/>
        <v>83571.167791440006</v>
      </c>
      <c r="D280" s="6">
        <f t="shared" si="69"/>
        <v>-320772.16476492863</v>
      </c>
      <c r="E280" s="6">
        <f t="shared" si="60"/>
        <v>127.16632572168601</v>
      </c>
      <c r="F280" s="6">
        <f t="shared" si="61"/>
        <v>-1096.3334761599981</v>
      </c>
      <c r="G280" s="6">
        <f t="shared" si="62"/>
        <v>366.62317274151519</v>
      </c>
      <c r="H280" s="6">
        <f t="shared" si="63"/>
        <v>-1673.3321782399998</v>
      </c>
      <c r="I280" s="6">
        <f t="shared" ref="I280:I295" si="83">DR280+DS280*$B$15+DT280*$B$15^2+DU280*$B$15^3+DV280*$B$15^4+DW280*$B$15^5+DX280*$B$15^6+DY280*$B$15^7+DZ280*$B$15^8+EA280*$B$15^9</f>
        <v>473.16836511221754</v>
      </c>
      <c r="J280" s="6">
        <f t="shared" si="70"/>
        <v>-846.45516312000018</v>
      </c>
      <c r="K280" s="6">
        <f t="shared" si="71"/>
        <v>537.83963872829372</v>
      </c>
      <c r="N280" s="15">
        <v>68</v>
      </c>
      <c r="O280" s="2" t="s">
        <v>115</v>
      </c>
      <c r="P280" s="4">
        <v>167.26</v>
      </c>
      <c r="Q280" s="45">
        <f>O42</f>
        <v>0</v>
      </c>
      <c r="R280" s="6">
        <f>IF($B$15&lt;2.2027149,B280,IF($B$15&lt;2.2107145,C280,IF($B$15&lt;3.9876739,D280,IF($B$15&lt;8.349542,E280,IF($B$15&lt;8.399689,F280,IF($B$15&lt;9.255036,G280,IF($B$15&lt;9.310622,H280,IF($B$15&lt;9.741549,I280,IF($B$15&lt;9.800056,J280,IF($B$15&lt;20.2,K280))))))))))</f>
        <v>127.16632572168601</v>
      </c>
      <c r="S280" s="6">
        <f t="shared" si="49"/>
        <v>0</v>
      </c>
      <c r="T280" s="6" t="e">
        <f t="shared" si="50"/>
        <v>#DIV/0!</v>
      </c>
      <c r="U280" s="6" t="e">
        <f t="shared" si="64"/>
        <v>#DIV/0!</v>
      </c>
      <c r="V280" s="49" t="s">
        <v>188</v>
      </c>
      <c r="W280" s="3"/>
      <c r="X280">
        <v>0.66500000000000004</v>
      </c>
      <c r="Y280" s="3" t="e">
        <f t="shared" si="25"/>
        <v>#DIV/0!</v>
      </c>
      <c r="Z280" s="36" t="e">
        <f t="shared" si="72"/>
        <v>#DIV/0!</v>
      </c>
      <c r="AA280" s="3" t="e">
        <f t="shared" si="65"/>
        <v>#DIV/0!</v>
      </c>
      <c r="AB280" s="36" t="e">
        <f t="shared" si="73"/>
        <v>#DIV/0!</v>
      </c>
      <c r="AC280" s="3" t="e">
        <f t="shared" si="74"/>
        <v>#DIV/0!</v>
      </c>
      <c r="AD280" s="36" t="e">
        <f t="shared" si="75"/>
        <v>#DIV/0!</v>
      </c>
      <c r="AE280" s="36" t="e">
        <f t="shared" si="76"/>
        <v>#DIV/0!</v>
      </c>
      <c r="AF280" s="36" t="e">
        <f t="shared" si="66"/>
        <v>#DIV/0!</v>
      </c>
      <c r="AG280" s="3" t="e">
        <f t="shared" si="67"/>
        <v>#DIV/0!</v>
      </c>
      <c r="AH280" s="36" t="e">
        <f t="shared" si="77"/>
        <v>#DIV/0!</v>
      </c>
      <c r="AI280" s="36" t="e">
        <f t="shared" si="78"/>
        <v>#DIV/0!</v>
      </c>
      <c r="AJ280" s="3" t="e">
        <f t="shared" si="79"/>
        <v>#DIV/0!</v>
      </c>
      <c r="AK280" s="36" t="e">
        <f t="shared" si="80"/>
        <v>#DIV/0!</v>
      </c>
      <c r="AL280" s="36" t="e">
        <f t="shared" si="81"/>
        <v>#DIV/0!</v>
      </c>
      <c r="AM280" s="36" t="e">
        <f t="shared" si="82"/>
        <v>#DIV/0!</v>
      </c>
      <c r="AP280" s="32">
        <v>68</v>
      </c>
      <c r="AQ280" s="1" t="s">
        <v>115</v>
      </c>
      <c r="AR280"/>
      <c r="AS280" s="5">
        <v>61273.297749999998</v>
      </c>
      <c r="AT280" s="5">
        <v>-66382.953229999999</v>
      </c>
      <c r="AU280" s="5">
        <v>25536.498909999998</v>
      </c>
      <c r="AV280" s="5">
        <v>-3373.0944500000001</v>
      </c>
      <c r="AW280" s="5"/>
      <c r="AX280" s="5"/>
      <c r="AY280" s="5"/>
      <c r="AZ280" s="5"/>
      <c r="BA280" s="5"/>
      <c r="BB280" s="5"/>
      <c r="BC280" s="5" t="s">
        <v>128</v>
      </c>
      <c r="BD280" s="5">
        <v>-27496.78557</v>
      </c>
      <c r="BE280" s="5">
        <v>13800.69003</v>
      </c>
      <c r="BF280" s="5"/>
      <c r="BG280" s="5"/>
      <c r="BH280" s="5"/>
      <c r="BO280">
        <v>64569.052170000003</v>
      </c>
      <c r="BP280">
        <v>-86375.01066</v>
      </c>
      <c r="BQ280">
        <v>49722.60946</v>
      </c>
      <c r="BR280">
        <v>-14775.69457</v>
      </c>
      <c r="BS280">
        <v>2224.37131</v>
      </c>
      <c r="BT280">
        <v>-134.47485</v>
      </c>
      <c r="BZ280">
        <v>11465.710440000001</v>
      </c>
      <c r="CA280">
        <v>-7174.2481100000005</v>
      </c>
      <c r="CB280">
        <v>1917.60833</v>
      </c>
      <c r="CC280">
        <v>-264.76272</v>
      </c>
      <c r="CD280">
        <v>18.589410000000001</v>
      </c>
      <c r="CE280">
        <v>-0.52653000000000005</v>
      </c>
      <c r="CJ280" s="5" t="s">
        <v>128</v>
      </c>
      <c r="CK280">
        <v>-33452.352359999997</v>
      </c>
      <c r="CL280">
        <v>4020.3800799999999</v>
      </c>
      <c r="CV280">
        <v>13108.051509999999</v>
      </c>
      <c r="CW280">
        <v>-3920.3173499999998</v>
      </c>
      <c r="CX280">
        <v>403.94931000000003</v>
      </c>
      <c r="CY280">
        <v>-14.109030000000001</v>
      </c>
      <c r="DF280" s="5" t="s">
        <v>128</v>
      </c>
      <c r="DG280">
        <v>-14437.54766</v>
      </c>
      <c r="DH280">
        <v>1586.0108700000001</v>
      </c>
      <c r="DR280">
        <v>-101.57978</v>
      </c>
      <c r="DS280">
        <v>480.03834999999998</v>
      </c>
      <c r="DT280">
        <v>-77.444749999999999</v>
      </c>
      <c r="DU280">
        <v>3.3140499999999999</v>
      </c>
      <c r="EB280" s="5" t="s">
        <v>128</v>
      </c>
      <c r="EC280">
        <v>-6242.7845100000004</v>
      </c>
      <c r="ED280">
        <v>670.51805999999999</v>
      </c>
      <c r="EN280">
        <v>5701.5485200000003</v>
      </c>
      <c r="EO280">
        <v>-1498.9896699999999</v>
      </c>
      <c r="EP280">
        <v>168.12810999999999</v>
      </c>
      <c r="EQ280">
        <v>-9.7454599999999996</v>
      </c>
      <c r="ER280">
        <v>0.28745999999999999</v>
      </c>
      <c r="ES280">
        <v>-3.4199999999999999E-3</v>
      </c>
    </row>
    <row r="281" spans="2:171" ht="15.95" customHeight="1">
      <c r="B281" s="6">
        <f>AS281+AT281*$B$15</f>
        <v>-22265.126900559997</v>
      </c>
      <c r="C281" s="6">
        <f t="shared" si="68"/>
        <v>266125.98041968001</v>
      </c>
      <c r="D281" s="6">
        <f t="shared" si="69"/>
        <v>-474087.7907497806</v>
      </c>
      <c r="E281" s="6">
        <f t="shared" ref="E281:E295" si="84">BZ281+CA281*$B$15</f>
        <v>83792.818253600009</v>
      </c>
      <c r="F281" s="6">
        <f t="shared" ref="F281:F295" si="85">CK281+CL281*$B$15+CM281*$B$15^2+CN281*$B$15^3+CO281*$B$15^4+CP281*$B$15^5+CQ281*$B$15^6+CR281*$B$15^7+CS281*$B$15^8+CT281*$B$15^9</f>
        <v>-201654.11733608553</v>
      </c>
      <c r="G281" s="6">
        <f t="shared" si="62"/>
        <v>133.09968123192448</v>
      </c>
      <c r="H281" s="6">
        <f t="shared" si="63"/>
        <v>-2069.1205419200014</v>
      </c>
      <c r="I281" s="6">
        <f t="shared" si="83"/>
        <v>449.91450854950745</v>
      </c>
      <c r="J281" s="6">
        <f t="shared" si="70"/>
        <v>-2610.5917712800019</v>
      </c>
      <c r="K281" s="6">
        <f t="shared" si="71"/>
        <v>468.1892836794317</v>
      </c>
      <c r="L281" s="6">
        <f t="shared" ref="L281:L295" si="86">EY281+EZ281*$B$15</f>
        <v>-982.52702816000055</v>
      </c>
      <c r="M281" s="6">
        <f t="shared" ref="M281:M295" si="87">FJ281+FK281*$B$15+FL281*$B$15^2+FM281*$B$15^3+FN281*$B$15^4+FO281*$B$15^5+FP281*$B$15^6+FQ281*$B$15^7+FR281*$B$15^8+FS281*$B$15^9</f>
        <v>595.20822520565741</v>
      </c>
      <c r="N281" s="15">
        <v>69</v>
      </c>
      <c r="O281" s="2" t="s">
        <v>116</v>
      </c>
      <c r="P281" s="4">
        <v>168.9342</v>
      </c>
      <c r="Q281" s="45">
        <f>P42</f>
        <v>0</v>
      </c>
      <c r="R281" s="6">
        <f>IF($B$15&lt;2.08744,B281,IF($B$15&lt;2.09216,C281,IF($B$15&lt;2.3038,D281,IF($B$15&lt;2.3114,E281,IF($B$15&lt;4.3348,F281,IF($B$15&lt;8.63935,G281,IF($B$15&lt;8.6912,H281,IF($B$15&lt;9.6073,I281,IF($B$15&lt;9.6539,J281,IF($B$15&lt;10.1056,K281,IF($B$15&lt;10.1663,L281,IF($B$15&lt;20.2,M281))))))))))))</f>
        <v>133.09968123192448</v>
      </c>
      <c r="S281" s="6">
        <f t="shared" si="49"/>
        <v>0</v>
      </c>
      <c r="T281" s="6" t="e">
        <f t="shared" si="50"/>
        <v>#DIV/0!</v>
      </c>
      <c r="U281" s="6" t="e">
        <f t="shared" si="64"/>
        <v>#DIV/0!</v>
      </c>
      <c r="V281" s="49" t="s">
        <v>188</v>
      </c>
      <c r="W281" s="3"/>
      <c r="X281">
        <v>0.66</v>
      </c>
      <c r="Y281" s="3" t="e">
        <f t="shared" si="25"/>
        <v>#DIV/0!</v>
      </c>
      <c r="Z281" s="36" t="e">
        <f t="shared" si="72"/>
        <v>#DIV/0!</v>
      </c>
      <c r="AA281" s="3" t="e">
        <f t="shared" si="65"/>
        <v>#DIV/0!</v>
      </c>
      <c r="AB281" s="36" t="e">
        <f t="shared" si="73"/>
        <v>#DIV/0!</v>
      </c>
      <c r="AC281" s="3" t="e">
        <f t="shared" si="74"/>
        <v>#DIV/0!</v>
      </c>
      <c r="AD281" s="36" t="e">
        <f t="shared" si="75"/>
        <v>#DIV/0!</v>
      </c>
      <c r="AE281" s="36" t="e">
        <f t="shared" si="76"/>
        <v>#DIV/0!</v>
      </c>
      <c r="AF281" s="36" t="e">
        <f t="shared" si="66"/>
        <v>#DIV/0!</v>
      </c>
      <c r="AG281" s="3" t="e">
        <f t="shared" si="67"/>
        <v>#DIV/0!</v>
      </c>
      <c r="AH281" s="36" t="e">
        <f t="shared" si="77"/>
        <v>#DIV/0!</v>
      </c>
      <c r="AI281" s="36" t="e">
        <f t="shared" si="78"/>
        <v>#DIV/0!</v>
      </c>
      <c r="AJ281" s="3" t="e">
        <f t="shared" si="79"/>
        <v>#DIV/0!</v>
      </c>
      <c r="AK281" s="36" t="e">
        <f t="shared" si="80"/>
        <v>#DIV/0!</v>
      </c>
      <c r="AL281" s="36" t="e">
        <f t="shared" si="81"/>
        <v>#DIV/0!</v>
      </c>
      <c r="AM281" s="36" t="e">
        <f t="shared" si="82"/>
        <v>#DIV/0!</v>
      </c>
      <c r="AP281" s="32">
        <v>69</v>
      </c>
      <c r="AQ281" s="1" t="s">
        <v>116</v>
      </c>
      <c r="AR281" s="5" t="s">
        <v>128</v>
      </c>
      <c r="AS281" s="5">
        <v>12167.47831</v>
      </c>
      <c r="AT281" s="5">
        <v>-4278.4052199999996</v>
      </c>
      <c r="AV281" s="5"/>
      <c r="AW281" s="5"/>
      <c r="AX281" s="5"/>
      <c r="AY281" s="5"/>
      <c r="AZ281" s="5"/>
      <c r="BA281" s="5"/>
      <c r="BB281" s="5"/>
      <c r="BC281" s="5" t="s">
        <v>128</v>
      </c>
      <c r="BD281" s="5">
        <v>-88817.572419999997</v>
      </c>
      <c r="BE281" s="5">
        <v>44103.324159999996</v>
      </c>
      <c r="BF281" s="5"/>
      <c r="BG281" s="5"/>
      <c r="BH281" s="5"/>
      <c r="BO281">
        <v>57921.626129999997</v>
      </c>
      <c r="BP281">
        <v>-60514.47997</v>
      </c>
      <c r="BQ281">
        <v>22514.104299999999</v>
      </c>
      <c r="BR281">
        <v>-2883.7842300000002</v>
      </c>
      <c r="BY281" s="5" t="s">
        <v>128</v>
      </c>
      <c r="BZ281">
        <v>-29768.048739999998</v>
      </c>
      <c r="CA281">
        <v>14110.4457</v>
      </c>
      <c r="CK281">
        <v>59062.72062</v>
      </c>
      <c r="CL281">
        <v>-75331.558059999996</v>
      </c>
      <c r="CM281">
        <v>41497.794970000003</v>
      </c>
      <c r="CN281">
        <v>-11824.27629</v>
      </c>
      <c r="CO281">
        <v>1707.91914</v>
      </c>
      <c r="CP281">
        <v>-99.033690000000007</v>
      </c>
      <c r="CV281">
        <v>10406.46874</v>
      </c>
      <c r="CW281">
        <v>-6175.1497099999997</v>
      </c>
      <c r="CX281">
        <v>1567.96216</v>
      </c>
      <c r="CY281">
        <v>-205.93208999999999</v>
      </c>
      <c r="CZ281">
        <v>13.769830000000001</v>
      </c>
      <c r="DA281">
        <v>-0.37181999999999998</v>
      </c>
      <c r="DF281" s="5" t="s">
        <v>128</v>
      </c>
      <c r="DG281">
        <v>-31752.79</v>
      </c>
      <c r="DH281">
        <v>3688.3287099999998</v>
      </c>
      <c r="DR281">
        <v>43620.561269999998</v>
      </c>
      <c r="DS281">
        <v>-13723.11535</v>
      </c>
      <c r="DT281">
        <v>1453.19407</v>
      </c>
      <c r="DU281">
        <v>-51.510280000000002</v>
      </c>
      <c r="EB281" s="5" t="s">
        <v>128</v>
      </c>
      <c r="EC281">
        <v>-17280.499370000001</v>
      </c>
      <c r="ED281">
        <v>1822.8016399999999</v>
      </c>
      <c r="EN281">
        <v>115.18980999999999</v>
      </c>
      <c r="EO281">
        <v>308.27507000000003</v>
      </c>
      <c r="EP281">
        <v>-48.30903</v>
      </c>
      <c r="EQ281">
        <v>1.9202900000000001</v>
      </c>
      <c r="EX281" s="5" t="s">
        <v>128</v>
      </c>
      <c r="EY281">
        <v>-5916.0703800000001</v>
      </c>
      <c r="EZ281">
        <v>613.01482999999996</v>
      </c>
      <c r="FJ281">
        <v>7435.06106</v>
      </c>
      <c r="FK281">
        <v>-2043.02153</v>
      </c>
      <c r="FL281">
        <v>236.59846999999999</v>
      </c>
      <c r="FM281">
        <v>-14.038360000000001</v>
      </c>
      <c r="FN281">
        <v>0.42122999999999999</v>
      </c>
      <c r="FO281">
        <v>-5.0800000000000003E-3</v>
      </c>
    </row>
    <row r="282" spans="2:171" ht="15.95" customHeight="1">
      <c r="B282" s="6">
        <f t="shared" ref="B282:B295" si="88">AS282+AT282*$B$15+AU282*$B$15^2+AV282*$B$15^3+AW282*$B$15^4+AX282*$B$15^5+AY282*$B$15^6+AZ282*$B$15^7+BA282*$B$15^8+BB282*$B$15^9</f>
        <v>-1474316.5914093321</v>
      </c>
      <c r="C282" s="6">
        <f t="shared" si="68"/>
        <v>229068.37203559998</v>
      </c>
      <c r="D282" s="6">
        <f t="shared" si="69"/>
        <v>-417754.74116143771</v>
      </c>
      <c r="E282" s="6">
        <f t="shared" si="84"/>
        <v>111908.19503216</v>
      </c>
      <c r="F282" s="6">
        <f t="shared" si="85"/>
        <v>-97767.978216223884</v>
      </c>
      <c r="G282" s="6">
        <f t="shared" si="62"/>
        <v>137.62202814046577</v>
      </c>
      <c r="H282" s="6">
        <f t="shared" si="63"/>
        <v>-2873.5541247199981</v>
      </c>
      <c r="I282" s="6">
        <f t="shared" si="83"/>
        <v>415.43167224872741</v>
      </c>
      <c r="J282" s="6">
        <f t="shared" si="70"/>
        <v>-2303.2193225600004</v>
      </c>
      <c r="K282" s="6">
        <f t="shared" si="71"/>
        <v>543.07540225676303</v>
      </c>
      <c r="L282" s="6">
        <f t="shared" si="86"/>
        <v>-1097.9873527999998</v>
      </c>
      <c r="M282" s="6">
        <f t="shared" si="87"/>
        <v>547.57736861916771</v>
      </c>
      <c r="N282" s="15">
        <v>70</v>
      </c>
      <c r="O282" s="2" t="s">
        <v>117</v>
      </c>
      <c r="P282" s="4">
        <v>173.04</v>
      </c>
      <c r="Q282" s="45">
        <f>Q42</f>
        <v>0</v>
      </c>
      <c r="R282" s="6">
        <f>IF($B$15&lt;2.170436,B282,IF($B$15&lt;2.175564,C282,IF($B$15&lt;2.3976254,D282,IF($B$15&lt;2.40309,E282,IF($B$15&lt;4.633924,F282,IF($B$15&lt;8.934656,G282,IF($B$15&lt;8.98832,H282,IF($B$15&lt;9.96822,I282,IF($B$15&lt;10.0281,J282,IF($B$15&lt;10.4759,K282,IF($B$15&lt;10.53883,L282,IF($B$15&lt;20.2,M282))))))))))))</f>
        <v>137.62202814046577</v>
      </c>
      <c r="S282" s="6">
        <f t="shared" si="49"/>
        <v>0</v>
      </c>
      <c r="T282" s="6" t="e">
        <f t="shared" si="50"/>
        <v>#DIV/0!</v>
      </c>
      <c r="U282" s="6" t="e">
        <f t="shared" si="64"/>
        <v>#DIV/0!</v>
      </c>
      <c r="V282" s="49" t="s">
        <v>188</v>
      </c>
      <c r="W282" s="3"/>
      <c r="X282">
        <v>0.65500000000000003</v>
      </c>
      <c r="Y282" s="3" t="e">
        <f t="shared" si="25"/>
        <v>#DIV/0!</v>
      </c>
      <c r="Z282" s="36" t="e">
        <f t="shared" si="72"/>
        <v>#DIV/0!</v>
      </c>
      <c r="AA282" s="3" t="e">
        <f t="shared" si="65"/>
        <v>#DIV/0!</v>
      </c>
      <c r="AB282" s="36" t="e">
        <f t="shared" si="73"/>
        <v>#DIV/0!</v>
      </c>
      <c r="AC282" s="3" t="e">
        <f t="shared" si="74"/>
        <v>#DIV/0!</v>
      </c>
      <c r="AD282" s="36" t="e">
        <f t="shared" si="75"/>
        <v>#DIV/0!</v>
      </c>
      <c r="AE282" s="36" t="e">
        <f t="shared" si="76"/>
        <v>#DIV/0!</v>
      </c>
      <c r="AF282" s="36" t="e">
        <f t="shared" si="66"/>
        <v>#DIV/0!</v>
      </c>
      <c r="AG282" s="3" t="e">
        <f t="shared" si="67"/>
        <v>#DIV/0!</v>
      </c>
      <c r="AH282" s="36" t="e">
        <f t="shared" si="77"/>
        <v>#DIV/0!</v>
      </c>
      <c r="AI282" s="36" t="e">
        <f t="shared" si="78"/>
        <v>#DIV/0!</v>
      </c>
      <c r="AJ282" s="3" t="e">
        <f t="shared" si="79"/>
        <v>#DIV/0!</v>
      </c>
      <c r="AK282" s="36" t="e">
        <f t="shared" si="80"/>
        <v>#DIV/0!</v>
      </c>
      <c r="AL282" s="36" t="e">
        <f t="shared" si="81"/>
        <v>#DIV/0!</v>
      </c>
      <c r="AM282" s="36" t="e">
        <f t="shared" si="82"/>
        <v>#DIV/0!</v>
      </c>
      <c r="AP282" s="32">
        <v>70</v>
      </c>
      <c r="AQ282" s="1" t="s">
        <v>117</v>
      </c>
      <c r="AR282"/>
      <c r="AS282" s="5">
        <v>103070.35129999999</v>
      </c>
      <c r="AT282" s="5">
        <v>-124980.67009</v>
      </c>
      <c r="AU282" s="5">
        <v>53033.876040000003</v>
      </c>
      <c r="AV282" s="5">
        <v>-7686.13573</v>
      </c>
      <c r="AW282" s="5"/>
      <c r="AX282" s="5"/>
      <c r="AY282" s="5"/>
      <c r="AZ282" s="5"/>
      <c r="BA282" s="5"/>
      <c r="BB282" s="5"/>
      <c r="BC282" s="5" t="s">
        <v>128</v>
      </c>
      <c r="BD282" s="5">
        <v>-80409.72941</v>
      </c>
      <c r="BE282" s="5">
        <v>38454.03845</v>
      </c>
      <c r="BF282" s="5"/>
      <c r="BG282" s="5"/>
      <c r="BH282" s="5"/>
      <c r="BO282">
        <v>57748.986900000004</v>
      </c>
      <c r="BP282">
        <v>-58836.595139999998</v>
      </c>
      <c r="BQ282">
        <v>21294.530269999999</v>
      </c>
      <c r="BR282">
        <v>-2649.7521099999999</v>
      </c>
      <c r="BY282" s="5" t="s">
        <v>128</v>
      </c>
      <c r="BZ282">
        <v>-43821.525820000003</v>
      </c>
      <c r="CA282">
        <v>19350.114420000002</v>
      </c>
      <c r="CK282">
        <v>45523.194960000001</v>
      </c>
      <c r="CL282">
        <v>-53341.065880000002</v>
      </c>
      <c r="CM282">
        <v>27476.36346</v>
      </c>
      <c r="CN282">
        <v>-7409.2088400000002</v>
      </c>
      <c r="CO282">
        <v>1020.1539299999999</v>
      </c>
      <c r="CP282">
        <v>-56.606140000000003</v>
      </c>
      <c r="CV282">
        <v>9741.6234600000007</v>
      </c>
      <c r="CW282">
        <v>-5568.8235800000002</v>
      </c>
      <c r="CX282">
        <v>1363.2165600000001</v>
      </c>
      <c r="CY282">
        <v>-172.71482</v>
      </c>
      <c r="CZ282">
        <v>11.14659</v>
      </c>
      <c r="DA282">
        <v>-0.29064000000000001</v>
      </c>
      <c r="DF282" s="5" t="s">
        <v>128</v>
      </c>
      <c r="DG282">
        <v>-29923.184809999999</v>
      </c>
      <c r="DH282">
        <v>3361.0376099999999</v>
      </c>
      <c r="DR282">
        <v>7340.1190399999996</v>
      </c>
      <c r="DS282">
        <v>-1872.3085000000001</v>
      </c>
      <c r="DT282">
        <v>166.21229</v>
      </c>
      <c r="DU282">
        <v>-5.0299500000000004</v>
      </c>
      <c r="EB282" s="5" t="s">
        <v>128</v>
      </c>
      <c r="EC282">
        <v>-12837.08178</v>
      </c>
      <c r="ED282">
        <v>1308.8795299999999</v>
      </c>
      <c r="EN282">
        <v>5254.6859800000002</v>
      </c>
      <c r="EO282">
        <v>-1138.6106199999999</v>
      </c>
      <c r="EP282">
        <v>87.3339</v>
      </c>
      <c r="EQ282">
        <v>-2.3111100000000002</v>
      </c>
      <c r="EX282" s="5" t="s">
        <v>128</v>
      </c>
      <c r="EY282">
        <v>-5579.8996399999996</v>
      </c>
      <c r="EZ282">
        <v>556.89765</v>
      </c>
      <c r="FJ282">
        <v>4920.6103700000003</v>
      </c>
      <c r="FK282">
        <v>-1227.2898299999999</v>
      </c>
      <c r="FL282">
        <v>132.23559</v>
      </c>
      <c r="FM282">
        <v>-7.43276</v>
      </c>
      <c r="FN282">
        <v>0.21409</v>
      </c>
      <c r="FO282">
        <v>-2.5000000000000001E-3</v>
      </c>
    </row>
    <row r="283" spans="2:171" ht="15.95" customHeight="1">
      <c r="B283" s="6">
        <f t="shared" si="88"/>
        <v>-758551.8897741111</v>
      </c>
      <c r="C283" s="6">
        <f t="shared" si="68"/>
        <v>203559.01697032002</v>
      </c>
      <c r="D283" s="6">
        <f t="shared" si="69"/>
        <v>-252066.63573963742</v>
      </c>
      <c r="E283" s="6">
        <f t="shared" si="84"/>
        <v>58918.495303040007</v>
      </c>
      <c r="F283" s="6">
        <f t="shared" si="85"/>
        <v>-26578.858687721426</v>
      </c>
      <c r="G283" s="6">
        <f t="shared" si="62"/>
        <v>143.8613179160875</v>
      </c>
      <c r="H283" s="6">
        <f t="shared" si="63"/>
        <v>-3581.6175700799977</v>
      </c>
      <c r="I283" s="6">
        <f t="shared" si="83"/>
        <v>462.92699497696094</v>
      </c>
      <c r="J283" s="6">
        <f t="shared" si="70"/>
        <v>-2549.9237839199977</v>
      </c>
      <c r="K283" s="6">
        <f t="shared" si="71"/>
        <v>594.34083111107066</v>
      </c>
      <c r="L283" s="6">
        <f t="shared" si="86"/>
        <v>-1194.3487100000002</v>
      </c>
      <c r="M283" s="6">
        <f t="shared" si="87"/>
        <v>567.31622104249152</v>
      </c>
      <c r="N283" s="15">
        <v>71</v>
      </c>
      <c r="O283" s="2" t="s">
        <v>96</v>
      </c>
      <c r="P283" s="4">
        <v>174.96700000000001</v>
      </c>
      <c r="Q283" s="45">
        <f>D38</f>
        <v>0</v>
      </c>
      <c r="R283" s="6">
        <f>IF($B$15&lt;2.26081,B283,IF($B$15&lt;2.26619,C283,IF($B$15&lt;2.48614,D283,IF($B$15&lt;2.4952,E283,IF($B$15&lt;4.95366,F283,IF($B$15&lt;9.234856,G283,IF($B$15&lt;9.29032,H283,IF($B$15&lt;10.33825,I283,IF($B$15&lt;10.40034,J283,IF($B$15&lt;10.85953,K283,IF($B$15&lt;10.92475,L283,IF($B$15&lt;20.2,M283))))))))))))</f>
        <v>143.8613179160875</v>
      </c>
      <c r="S283" s="6">
        <f t="shared" si="49"/>
        <v>0</v>
      </c>
      <c r="T283" s="6" t="e">
        <f t="shared" si="50"/>
        <v>#DIV/0!</v>
      </c>
      <c r="U283" s="6" t="e">
        <f t="shared" si="64"/>
        <v>#DIV/0!</v>
      </c>
      <c r="V283" s="49" t="s">
        <v>188</v>
      </c>
      <c r="W283" s="3"/>
      <c r="X283">
        <v>0.65</v>
      </c>
      <c r="Y283" s="3" t="e">
        <f t="shared" si="25"/>
        <v>#DIV/0!</v>
      </c>
      <c r="Z283" s="36" t="e">
        <f t="shared" si="72"/>
        <v>#DIV/0!</v>
      </c>
      <c r="AA283" s="3" t="e">
        <f t="shared" si="65"/>
        <v>#DIV/0!</v>
      </c>
      <c r="AB283" s="36" t="e">
        <f t="shared" si="73"/>
        <v>#DIV/0!</v>
      </c>
      <c r="AC283" s="3" t="e">
        <f t="shared" si="74"/>
        <v>#DIV/0!</v>
      </c>
      <c r="AD283" s="36" t="e">
        <f t="shared" si="75"/>
        <v>#DIV/0!</v>
      </c>
      <c r="AE283" s="36" t="e">
        <f t="shared" si="76"/>
        <v>#DIV/0!</v>
      </c>
      <c r="AF283" s="36" t="e">
        <f t="shared" si="66"/>
        <v>#DIV/0!</v>
      </c>
      <c r="AG283" s="3" t="e">
        <f t="shared" si="67"/>
        <v>#DIV/0!</v>
      </c>
      <c r="AH283" s="36" t="e">
        <f t="shared" si="77"/>
        <v>#DIV/0!</v>
      </c>
      <c r="AI283" s="36" t="e">
        <f t="shared" si="78"/>
        <v>#DIV/0!</v>
      </c>
      <c r="AJ283" s="3" t="e">
        <f t="shared" si="79"/>
        <v>#DIV/0!</v>
      </c>
      <c r="AK283" s="36" t="e">
        <f t="shared" si="80"/>
        <v>#DIV/0!</v>
      </c>
      <c r="AL283" s="36" t="e">
        <f t="shared" si="81"/>
        <v>#DIV/0!</v>
      </c>
      <c r="AM283" s="36" t="e">
        <f t="shared" si="82"/>
        <v>#DIV/0!</v>
      </c>
      <c r="AP283" s="32">
        <v>71</v>
      </c>
      <c r="AQ283" s="1" t="s">
        <v>96</v>
      </c>
      <c r="AR283"/>
      <c r="AS283" s="5">
        <v>75493.098440000002</v>
      </c>
      <c r="AT283" s="5">
        <v>-83484.341620000007</v>
      </c>
      <c r="AU283" s="5">
        <v>32575.884979999999</v>
      </c>
      <c r="AV283" s="5">
        <v>-4358.7907400000004</v>
      </c>
      <c r="AW283" s="5"/>
      <c r="AX283" s="5"/>
      <c r="AY283" s="5"/>
      <c r="AZ283" s="5"/>
      <c r="BA283" s="5"/>
      <c r="BB283" s="5"/>
      <c r="BC283" s="5" t="s">
        <v>128</v>
      </c>
      <c r="BD283" s="5">
        <v>-75508.830310000005</v>
      </c>
      <c r="BE283" s="5">
        <v>34675.428339999999</v>
      </c>
      <c r="BF283" s="5"/>
      <c r="BG283" s="5"/>
      <c r="BH283" s="5"/>
      <c r="BO283">
        <v>48899.638449999999</v>
      </c>
      <c r="BP283">
        <v>-46233.499960000001</v>
      </c>
      <c r="BQ283">
        <v>15546.57185</v>
      </c>
      <c r="BR283">
        <v>-1795.29366</v>
      </c>
      <c r="BY283" s="5" t="s">
        <v>128</v>
      </c>
      <c r="BZ283">
        <v>-22776.293799999999</v>
      </c>
      <c r="CA283">
        <v>10150.94298</v>
      </c>
      <c r="CK283">
        <v>30568.338339999998</v>
      </c>
      <c r="CL283">
        <v>-30236.16084</v>
      </c>
      <c r="CM283">
        <v>13490.1723</v>
      </c>
      <c r="CN283">
        <v>-3233.0640699999999</v>
      </c>
      <c r="CO283">
        <v>403.89418000000001</v>
      </c>
      <c r="CP283">
        <v>-20.634450000000001</v>
      </c>
      <c r="CV283">
        <v>9457.4062799999992</v>
      </c>
      <c r="CW283">
        <v>-5255.0126499999997</v>
      </c>
      <c r="CX283">
        <v>1251.11879</v>
      </c>
      <c r="CY283">
        <v>-154.27614</v>
      </c>
      <c r="CZ283">
        <v>9.6990700000000007</v>
      </c>
      <c r="DA283">
        <v>-0.24661</v>
      </c>
      <c r="DF283" s="5" t="s">
        <v>128</v>
      </c>
      <c r="DG283">
        <v>-28559.67036</v>
      </c>
      <c r="DH283">
        <v>3103.6347900000001</v>
      </c>
      <c r="DR283">
        <v>9837.0706599999994</v>
      </c>
      <c r="DS283">
        <v>-2578.9665399999999</v>
      </c>
      <c r="DT283">
        <v>233.49825999999999</v>
      </c>
      <c r="DU283">
        <v>-7.1793199999999997</v>
      </c>
      <c r="EB283" s="5" t="s">
        <v>128</v>
      </c>
      <c r="EC283">
        <v>-12207.783009999999</v>
      </c>
      <c r="ED283">
        <v>1200.0322100000001</v>
      </c>
      <c r="EN283">
        <v>6914.8281100000004</v>
      </c>
      <c r="EO283">
        <v>-1586.0040300000001</v>
      </c>
      <c r="EP283">
        <v>128.20097999999999</v>
      </c>
      <c r="EQ283">
        <v>-3.5680900000000002</v>
      </c>
      <c r="EX283" s="5" t="s">
        <v>128</v>
      </c>
      <c r="EY283">
        <v>-5302.2591700000003</v>
      </c>
      <c r="EZ283">
        <v>510.42624999999998</v>
      </c>
      <c r="FJ283">
        <v>5149.4906199999996</v>
      </c>
      <c r="FK283">
        <v>-1290.34502</v>
      </c>
      <c r="FL283">
        <v>139.61806999999999</v>
      </c>
      <c r="FM283">
        <v>-7.8735499999999998</v>
      </c>
      <c r="FN283">
        <v>0.22728000000000001</v>
      </c>
      <c r="FO283">
        <v>-2.66E-3</v>
      </c>
    </row>
    <row r="284" spans="2:171" ht="15.95" customHeight="1">
      <c r="B284" s="6">
        <f t="shared" si="88"/>
        <v>-489837.02226649434</v>
      </c>
      <c r="C284" s="6">
        <f t="shared" si="68"/>
        <v>176508.70212528002</v>
      </c>
      <c r="D284" s="6">
        <f t="shared" si="69"/>
        <v>-160603.00865980913</v>
      </c>
      <c r="E284" s="6">
        <f t="shared" si="84"/>
        <v>52928.27383143999</v>
      </c>
      <c r="F284" s="6">
        <f t="shared" si="85"/>
        <v>130.39273252050043</v>
      </c>
      <c r="G284" s="6">
        <f t="shared" si="62"/>
        <v>149.58075179368461</v>
      </c>
      <c r="H284" s="6">
        <f t="shared" si="63"/>
        <v>-4154.1778875199998</v>
      </c>
      <c r="I284" s="6">
        <f t="shared" si="83"/>
        <v>473.7616247785727</v>
      </c>
      <c r="J284" s="6">
        <f t="shared" si="70"/>
        <v>-2730.3381061599994</v>
      </c>
      <c r="K284" s="6">
        <f>EN284+EO284*$B$15</f>
        <v>429.95647192000001</v>
      </c>
      <c r="L284" s="6">
        <f t="shared" si="86"/>
        <v>-1257.9996355200001</v>
      </c>
      <c r="M284" s="6">
        <f t="shared" si="87"/>
        <v>585.9156909656258</v>
      </c>
      <c r="N284" s="15">
        <v>72</v>
      </c>
      <c r="O284" s="2" t="s">
        <v>97</v>
      </c>
      <c r="P284" s="4">
        <v>178.49</v>
      </c>
      <c r="Q284" s="45">
        <f>E38</f>
        <v>0</v>
      </c>
      <c r="R284" s="6">
        <f>IF($B$15&lt;2.362585,B284,IF($B$15&lt;2.368215,C284,IF($B$15&lt;2.5968,D284,IF($B$15&lt;2.60605,E284,IF($B$15&lt;6.05145,F284,IF($B$15&lt;9.55114,G284,IF($B$15&lt;9.6085,H284,IF($B$15&lt;10.72866,I284,IF($B$15&lt;10.7931,J284,IF($B$15&lt;11.25943,K284,IF($B$15&lt;11.32705,L284,IF($B$15&lt;20.2,M284))))))))))))</f>
        <v>149.58075179368461</v>
      </c>
      <c r="S284" s="6">
        <f t="shared" si="49"/>
        <v>0</v>
      </c>
      <c r="T284" s="6" t="e">
        <f t="shared" si="50"/>
        <v>#DIV/0!</v>
      </c>
      <c r="U284" s="6" t="e">
        <f t="shared" si="64"/>
        <v>#DIV/0!</v>
      </c>
      <c r="V284" s="47" t="s">
        <v>183</v>
      </c>
      <c r="W284" s="3"/>
      <c r="X284">
        <v>0.64500000000000002</v>
      </c>
      <c r="Y284" s="3" t="e">
        <f t="shared" si="25"/>
        <v>#DIV/0!</v>
      </c>
      <c r="Z284" s="36" t="e">
        <f t="shared" si="72"/>
        <v>#DIV/0!</v>
      </c>
      <c r="AA284" s="3" t="e">
        <f t="shared" si="65"/>
        <v>#DIV/0!</v>
      </c>
      <c r="AB284" s="36" t="e">
        <f t="shared" si="73"/>
        <v>#DIV/0!</v>
      </c>
      <c r="AC284" s="3" t="e">
        <f t="shared" si="74"/>
        <v>#DIV/0!</v>
      </c>
      <c r="AD284" s="36" t="e">
        <f t="shared" si="75"/>
        <v>#DIV/0!</v>
      </c>
      <c r="AE284" s="36" t="e">
        <f t="shared" si="76"/>
        <v>#DIV/0!</v>
      </c>
      <c r="AF284" s="36" t="e">
        <f t="shared" si="66"/>
        <v>#DIV/0!</v>
      </c>
      <c r="AG284" s="3" t="e">
        <f t="shared" si="67"/>
        <v>#DIV/0!</v>
      </c>
      <c r="AH284" s="36" t="e">
        <f t="shared" si="77"/>
        <v>#DIV/0!</v>
      </c>
      <c r="AI284" s="36" t="e">
        <f t="shared" si="78"/>
        <v>#DIV/0!</v>
      </c>
      <c r="AJ284" s="3" t="e">
        <f t="shared" si="79"/>
        <v>#DIV/0!</v>
      </c>
      <c r="AK284" s="36" t="e">
        <f t="shared" si="80"/>
        <v>#DIV/0!</v>
      </c>
      <c r="AL284" s="36" t="e">
        <f t="shared" si="81"/>
        <v>#DIV/0!</v>
      </c>
      <c r="AM284" s="36" t="e">
        <f t="shared" si="82"/>
        <v>#DIV/0!</v>
      </c>
      <c r="AP284" s="32">
        <v>72</v>
      </c>
      <c r="AQ284" s="1" t="s">
        <v>97</v>
      </c>
      <c r="AR284"/>
      <c r="AS284" s="5">
        <v>61639.156280000003</v>
      </c>
      <c r="AT284" s="5">
        <v>-63926.32357</v>
      </c>
      <c r="AU284" s="5">
        <v>23593.536390000001</v>
      </c>
      <c r="AV284" s="5">
        <v>-3002.5772200000001</v>
      </c>
      <c r="AW284" s="5"/>
      <c r="AX284" s="5"/>
      <c r="AY284" s="5"/>
      <c r="AZ284" s="5"/>
      <c r="BA284" s="5"/>
      <c r="BB284" s="5"/>
      <c r="BC284" s="5" t="s">
        <v>128</v>
      </c>
      <c r="BD284" s="5">
        <v>-69518.759359999996</v>
      </c>
      <c r="BE284" s="5">
        <v>30570.012610000002</v>
      </c>
      <c r="BF284" s="5"/>
      <c r="BG284" s="5"/>
      <c r="BH284" s="5"/>
      <c r="BO284">
        <v>41937.755210000003</v>
      </c>
      <c r="BP284">
        <v>-37077.202960000002</v>
      </c>
      <c r="BQ284">
        <v>11698.704030000001</v>
      </c>
      <c r="BR284">
        <v>-1269.7263700000001</v>
      </c>
      <c r="BY284" s="5" t="s">
        <v>128</v>
      </c>
      <c r="BZ284">
        <v>-21803.714029999999</v>
      </c>
      <c r="CA284">
        <v>9285.7837799999998</v>
      </c>
      <c r="CK284">
        <v>19282.440470000001</v>
      </c>
      <c r="CL284">
        <v>-13979.25923</v>
      </c>
      <c r="CM284">
        <v>4340.0641599999999</v>
      </c>
      <c r="CN284">
        <v>-697.20429999999999</v>
      </c>
      <c r="CO284">
        <v>56.984400000000001</v>
      </c>
      <c r="CP284">
        <v>-1.87727</v>
      </c>
      <c r="CV284">
        <v>8515.9192299999995</v>
      </c>
      <c r="CW284">
        <v>-4490.5097299999998</v>
      </c>
      <c r="CX284">
        <v>1016.7714</v>
      </c>
      <c r="CY284">
        <v>-119.48629</v>
      </c>
      <c r="CZ284">
        <v>7.1738799999999996</v>
      </c>
      <c r="DA284">
        <v>-0.17458000000000001</v>
      </c>
      <c r="DF284" s="5" t="s">
        <v>128</v>
      </c>
      <c r="DG284">
        <v>-26914.70866</v>
      </c>
      <c r="DH284">
        <v>2828.0977600000001</v>
      </c>
      <c r="DR284">
        <v>7203.2807300000004</v>
      </c>
      <c r="DS284">
        <v>-1750.4832200000001</v>
      </c>
      <c r="DT284">
        <v>147.86427</v>
      </c>
      <c r="DU284">
        <v>-4.2565999999999997</v>
      </c>
      <c r="EB284" s="5" t="s">
        <v>128</v>
      </c>
      <c r="EC284">
        <v>-11486.47221</v>
      </c>
      <c r="ED284">
        <v>1087.98883</v>
      </c>
      <c r="EM284" s="5" t="s">
        <v>128</v>
      </c>
      <c r="EN284">
        <v>940.34019000000001</v>
      </c>
      <c r="EO284">
        <v>-63.417459999999998</v>
      </c>
      <c r="EX284" s="5" t="s">
        <v>128</v>
      </c>
      <c r="EY284">
        <v>-4978.5036</v>
      </c>
      <c r="EZ284">
        <v>462.28926000000001</v>
      </c>
      <c r="FJ284">
        <v>5344.3919400000004</v>
      </c>
      <c r="FK284">
        <v>-1339.78358</v>
      </c>
      <c r="FL284">
        <v>144.82293000000001</v>
      </c>
      <c r="FM284">
        <v>-8.1480499999999996</v>
      </c>
      <c r="FN284">
        <v>0.23441000000000001</v>
      </c>
      <c r="FO284">
        <v>-2.7299999999999998E-3</v>
      </c>
    </row>
    <row r="285" spans="2:171" ht="15.95" customHeight="1">
      <c r="B285" s="6">
        <f t="shared" si="88"/>
        <v>-351987.45607813238</v>
      </c>
      <c r="C285" s="6">
        <f t="shared" si="68"/>
        <v>200339.29385744</v>
      </c>
      <c r="D285" s="6">
        <f t="shared" si="69"/>
        <v>-75289.705571187777</v>
      </c>
      <c r="E285" s="6">
        <f t="shared" si="84"/>
        <v>42539.542157439995</v>
      </c>
      <c r="F285" s="6">
        <f t="shared" si="85"/>
        <v>567.65931696914777</v>
      </c>
      <c r="G285" s="6">
        <f t="shared" si="62"/>
        <v>156.18279241208529</v>
      </c>
      <c r="H285" s="6">
        <f t="shared" si="63"/>
        <v>-4645.3777193599999</v>
      </c>
      <c r="I285" s="6">
        <f t="shared" si="83"/>
        <v>530.79768297537339</v>
      </c>
      <c r="J285" s="6">
        <f t="shared" si="70"/>
        <v>-2780.9834276799993</v>
      </c>
      <c r="K285" s="6">
        <f>EN285+EO285*$B$15</f>
        <v>406.6461688</v>
      </c>
      <c r="L285" s="6">
        <f t="shared" si="86"/>
        <v>-1320.1733168000001</v>
      </c>
      <c r="M285" s="6">
        <f t="shared" si="87"/>
        <v>563.5395937137115</v>
      </c>
      <c r="N285" s="15">
        <v>73</v>
      </c>
      <c r="O285" s="2" t="s">
        <v>98</v>
      </c>
      <c r="P285" s="4">
        <v>180.9479</v>
      </c>
      <c r="Q285" s="45">
        <f>F38</f>
        <v>0</v>
      </c>
      <c r="R285" s="6">
        <f>IF($B$15&lt;2.46574,B285,IF($B$15&lt;2.47046,C285,IF($B$15&lt;2.70277,D285,IF($B$15&lt;2.713226,E285,IF($B$15&lt;6.05145,F285,IF($B$15&lt;9.87122,G285,IF($B$15&lt;9.930505,H285,IF($B$15&lt;11.12496,I285,IF($B$15&lt;11.19178,J285,IF($B$15&lt;11.66982,K285,IF($B$15&lt;11.73991,L285,IF($B$15&lt;20.2,M285))))))))))))</f>
        <v>156.18279241208529</v>
      </c>
      <c r="S285" s="6">
        <f t="shared" si="49"/>
        <v>0</v>
      </c>
      <c r="T285" s="6" t="e">
        <f t="shared" si="50"/>
        <v>#DIV/0!</v>
      </c>
      <c r="U285" s="6" t="e">
        <f t="shared" si="64"/>
        <v>#DIV/0!</v>
      </c>
      <c r="V285" s="47" t="s">
        <v>183</v>
      </c>
      <c r="W285" s="3"/>
      <c r="X285">
        <v>0.64</v>
      </c>
      <c r="Y285" s="3" t="e">
        <f t="shared" si="25"/>
        <v>#DIV/0!</v>
      </c>
      <c r="Z285" s="36" t="e">
        <f t="shared" si="72"/>
        <v>#DIV/0!</v>
      </c>
      <c r="AA285" s="3" t="e">
        <f t="shared" si="65"/>
        <v>#DIV/0!</v>
      </c>
      <c r="AB285" s="36" t="e">
        <f t="shared" si="73"/>
        <v>#DIV/0!</v>
      </c>
      <c r="AC285" s="3" t="e">
        <f t="shared" si="74"/>
        <v>#DIV/0!</v>
      </c>
      <c r="AD285" s="36" t="e">
        <f t="shared" si="75"/>
        <v>#DIV/0!</v>
      </c>
      <c r="AE285" s="36" t="e">
        <f t="shared" si="76"/>
        <v>#DIV/0!</v>
      </c>
      <c r="AF285" s="36" t="e">
        <f t="shared" si="66"/>
        <v>#DIV/0!</v>
      </c>
      <c r="AG285" s="3" t="e">
        <f t="shared" si="67"/>
        <v>#DIV/0!</v>
      </c>
      <c r="AH285" s="36" t="e">
        <f t="shared" si="77"/>
        <v>#DIV/0!</v>
      </c>
      <c r="AI285" s="36" t="e">
        <f t="shared" si="78"/>
        <v>#DIV/0!</v>
      </c>
      <c r="AJ285" s="3" t="e">
        <f t="shared" si="79"/>
        <v>#DIV/0!</v>
      </c>
      <c r="AK285" s="36" t="e">
        <f t="shared" si="80"/>
        <v>#DIV/0!</v>
      </c>
      <c r="AL285" s="36" t="e">
        <f t="shared" si="81"/>
        <v>#DIV/0!</v>
      </c>
      <c r="AM285" s="36" t="e">
        <f t="shared" si="82"/>
        <v>#DIV/0!</v>
      </c>
      <c r="AP285" s="32">
        <v>73</v>
      </c>
      <c r="AQ285" s="1" t="s">
        <v>98</v>
      </c>
      <c r="AR285"/>
      <c r="AS285" s="5">
        <v>55151.205240000003</v>
      </c>
      <c r="AT285" s="5">
        <v>-54257.398500000003</v>
      </c>
      <c r="AU285" s="5">
        <v>19050.08812</v>
      </c>
      <c r="AV285" s="5">
        <v>-2310.4185299999999</v>
      </c>
      <c r="AW285" s="5"/>
      <c r="AX285" s="5"/>
      <c r="AY285" s="5"/>
      <c r="AZ285" s="5"/>
      <c r="BA285" s="5"/>
      <c r="BB285" s="5"/>
      <c r="BC285" s="5" t="s">
        <v>128</v>
      </c>
      <c r="BD285" s="5">
        <v>-84812.639739999999</v>
      </c>
      <c r="BE285" s="5">
        <v>35431.403279999999</v>
      </c>
      <c r="BF285" s="5"/>
      <c r="BG285" s="5"/>
      <c r="BH285" s="5"/>
      <c r="BO285">
        <v>35008.311990000002</v>
      </c>
      <c r="BP285">
        <v>-28082.713009999999</v>
      </c>
      <c r="BQ285">
        <v>7977.2531200000003</v>
      </c>
      <c r="BR285">
        <v>-769.22970999999995</v>
      </c>
      <c r="BY285" s="5" t="s">
        <v>128</v>
      </c>
      <c r="BZ285">
        <v>-18207.925019999999</v>
      </c>
      <c r="CA285">
        <v>7548.1445299999996</v>
      </c>
      <c r="CK285">
        <v>18679.104340000002</v>
      </c>
      <c r="CL285">
        <v>-12944.19528</v>
      </c>
      <c r="CM285">
        <v>3778.1172900000001</v>
      </c>
      <c r="CN285">
        <v>-556.33867999999995</v>
      </c>
      <c r="CO285">
        <v>40.05565</v>
      </c>
      <c r="CP285">
        <v>-1.0865199999999999</v>
      </c>
      <c r="CV285">
        <v>6452.4830099999999</v>
      </c>
      <c r="CW285">
        <v>-3021.6350499999999</v>
      </c>
      <c r="CX285">
        <v>609.74734000000001</v>
      </c>
      <c r="CY285">
        <v>-64.04401</v>
      </c>
      <c r="CZ285">
        <v>3.4472100000000001</v>
      </c>
      <c r="DA285">
        <v>-7.5499999999999998E-2</v>
      </c>
      <c r="DF285" s="5" t="s">
        <v>128</v>
      </c>
      <c r="DG285">
        <v>-25560.322380000001</v>
      </c>
      <c r="DH285">
        <v>2598.7754300000001</v>
      </c>
      <c r="DR285">
        <v>8794.0828700000002</v>
      </c>
      <c r="DS285">
        <v>-2157.2104599999998</v>
      </c>
      <c r="DT285">
        <v>182.81558000000001</v>
      </c>
      <c r="DU285">
        <v>-5.2622799999999996</v>
      </c>
      <c r="EB285" s="5" t="s">
        <v>128</v>
      </c>
      <c r="EC285">
        <v>-10514.627259999999</v>
      </c>
      <c r="ED285">
        <v>960.93984</v>
      </c>
      <c r="EM285" s="5" t="s">
        <v>128</v>
      </c>
      <c r="EN285">
        <v>834.01026000000002</v>
      </c>
      <c r="EO285">
        <v>-53.101900000000001</v>
      </c>
      <c r="EX285" s="5" t="s">
        <v>128</v>
      </c>
      <c r="EY285">
        <v>-4730.4400800000003</v>
      </c>
      <c r="EZ285">
        <v>423.74090000000001</v>
      </c>
      <c r="FJ285">
        <v>3770.8187400000002</v>
      </c>
      <c r="FK285">
        <v>-826.14635999999996</v>
      </c>
      <c r="FL285">
        <v>79.180040000000005</v>
      </c>
      <c r="FM285">
        <v>-4.0109199999999996</v>
      </c>
      <c r="FN285">
        <v>0.10543</v>
      </c>
      <c r="FO285">
        <v>-1.14E-3</v>
      </c>
    </row>
    <row r="286" spans="2:171" ht="15.95" customHeight="1">
      <c r="B286" s="6">
        <f t="shared" si="88"/>
        <v>-367822.3057253717</v>
      </c>
      <c r="C286" s="6">
        <f t="shared" si="68"/>
        <v>1162083.9023478401</v>
      </c>
      <c r="D286" s="6">
        <f t="shared" si="69"/>
        <v>-361018.93526552757</v>
      </c>
      <c r="E286" s="6">
        <f t="shared" si="84"/>
        <v>132119.39861888002</v>
      </c>
      <c r="F286" s="6">
        <f t="shared" si="85"/>
        <v>-7881.8107994481688</v>
      </c>
      <c r="G286" s="6">
        <f t="shared" si="62"/>
        <v>162.79774486584347</v>
      </c>
      <c r="H286" s="6">
        <f t="shared" si="63"/>
        <v>-5035.8666508799979</v>
      </c>
      <c r="I286" s="6">
        <f t="shared" si="83"/>
        <v>534.29595804667451</v>
      </c>
      <c r="J286" s="6">
        <f t="shared" si="70"/>
        <v>-2894.0448936799994</v>
      </c>
      <c r="K286" s="6">
        <f>EN286+EO286*$B$15</f>
        <v>398.83542671999999</v>
      </c>
      <c r="L286" s="6">
        <f t="shared" si="86"/>
        <v>-1360.6753576800002</v>
      </c>
      <c r="M286" s="6">
        <f t="shared" si="87"/>
        <v>584.19961861482989</v>
      </c>
      <c r="N286" s="15">
        <v>74</v>
      </c>
      <c r="O286" s="2" t="s">
        <v>75</v>
      </c>
      <c r="P286" s="4">
        <v>183.85</v>
      </c>
      <c r="Q286" s="45">
        <f>G38</f>
        <v>0</v>
      </c>
      <c r="R286" s="6">
        <f>IF($B$15&lt;2.28098,B286,IF($B$15&lt;2.28335,C286,IF($B$15&lt;2.5716555,D286,IF($B$15&lt;2.5781443,E286,IF($B$15&lt;5.295467,F286,IF($B$15&lt;10.1966,G286,IF($B$15&lt;10.25783,H286,IF($B$15&lt;11.53246,I286,IF($B$15&lt;11.60172,J286,IF($B$15&lt;12.0877,K286,IF($B$15&lt;12.1603,L286,IF($B$15&lt;20.2,M286))))))))))))</f>
        <v>162.79774486584347</v>
      </c>
      <c r="S286" s="6">
        <f t="shared" si="49"/>
        <v>0</v>
      </c>
      <c r="T286" s="6" t="e">
        <f t="shared" si="50"/>
        <v>#DIV/0!</v>
      </c>
      <c r="U286" s="6" t="e">
        <f t="shared" ref="U286:U295" si="89">T286/100*R286</f>
        <v>#DIV/0!</v>
      </c>
      <c r="V286" s="47" t="s">
        <v>183</v>
      </c>
      <c r="W286" s="3"/>
      <c r="X286">
        <v>0.63500000000000001</v>
      </c>
      <c r="Y286" s="3" t="e">
        <f t="shared" si="25"/>
        <v>#DIV/0!</v>
      </c>
      <c r="Z286" s="36" t="e">
        <f t="shared" si="72"/>
        <v>#DIV/0!</v>
      </c>
      <c r="AA286" s="3" t="e">
        <f t="shared" si="65"/>
        <v>#DIV/0!</v>
      </c>
      <c r="AB286" s="36" t="e">
        <f t="shared" si="73"/>
        <v>#DIV/0!</v>
      </c>
      <c r="AC286" s="3" t="e">
        <f t="shared" si="74"/>
        <v>#DIV/0!</v>
      </c>
      <c r="AD286" s="36" t="e">
        <f t="shared" si="75"/>
        <v>#DIV/0!</v>
      </c>
      <c r="AE286" s="36" t="e">
        <f t="shared" si="76"/>
        <v>#DIV/0!</v>
      </c>
      <c r="AF286" s="36" t="e">
        <f t="shared" si="66"/>
        <v>#DIV/0!</v>
      </c>
      <c r="AG286" s="3" t="e">
        <f t="shared" si="67"/>
        <v>#DIV/0!</v>
      </c>
      <c r="AH286" s="36" t="e">
        <f t="shared" si="77"/>
        <v>#DIV/0!</v>
      </c>
      <c r="AI286" s="36" t="e">
        <f t="shared" si="78"/>
        <v>#DIV/0!</v>
      </c>
      <c r="AJ286" s="3" t="e">
        <f t="shared" si="79"/>
        <v>#DIV/0!</v>
      </c>
      <c r="AK286" s="36" t="e">
        <f t="shared" si="80"/>
        <v>#DIV/0!</v>
      </c>
      <c r="AL286" s="36" t="e">
        <f t="shared" si="81"/>
        <v>#DIV/0!</v>
      </c>
      <c r="AM286" s="36" t="e">
        <f t="shared" si="82"/>
        <v>#DIV/0!</v>
      </c>
      <c r="AP286" s="32">
        <v>74</v>
      </c>
      <c r="AQ286" s="1" t="s">
        <v>75</v>
      </c>
      <c r="AR286"/>
      <c r="AS286" s="5">
        <v>46349.580750000001</v>
      </c>
      <c r="AT286" s="5">
        <v>-46755.939480000001</v>
      </c>
      <c r="AU286" s="5">
        <v>17142.58049</v>
      </c>
      <c r="AV286" s="5">
        <v>-2202.7109500000001</v>
      </c>
      <c r="AW286" s="5"/>
      <c r="AX286" s="5"/>
      <c r="AY286" s="5"/>
      <c r="AZ286" s="5"/>
      <c r="BA286" s="5"/>
      <c r="BB286" s="5"/>
      <c r="BC286" s="5" t="s">
        <v>128</v>
      </c>
      <c r="BD286" s="5">
        <v>-455790.28129999997</v>
      </c>
      <c r="BE286" s="5">
        <v>201028.10433</v>
      </c>
      <c r="BF286" s="5"/>
      <c r="BG286" s="5"/>
      <c r="BH286" s="5"/>
      <c r="BO286">
        <v>59670.651160000001</v>
      </c>
      <c r="BP286">
        <v>-58356.527979999999</v>
      </c>
      <c r="BQ286">
        <v>20267.34621</v>
      </c>
      <c r="BR286">
        <v>-2424.3770300000001</v>
      </c>
      <c r="BY286" s="5" t="s">
        <v>128</v>
      </c>
      <c r="BZ286">
        <v>-58513.322339999999</v>
      </c>
      <c r="CA286">
        <v>23686.96831</v>
      </c>
      <c r="CK286">
        <v>14015.3416</v>
      </c>
      <c r="CL286">
        <v>-9041.8905799999993</v>
      </c>
      <c r="CM286">
        <v>2865.85455</v>
      </c>
      <c r="CN286">
        <v>-584.98418000000004</v>
      </c>
      <c r="CO286">
        <v>73.742679999999993</v>
      </c>
      <c r="CP286">
        <v>-4.1222599999999998</v>
      </c>
      <c r="CV286">
        <v>7192.4771700000001</v>
      </c>
      <c r="CW286">
        <v>-3402.6853999999998</v>
      </c>
      <c r="CX286">
        <v>687.90981999999997</v>
      </c>
      <c r="CY286">
        <v>-71.837040000000002</v>
      </c>
      <c r="CZ286">
        <v>3.8165399999999998</v>
      </c>
      <c r="DA286">
        <v>-8.1909999999999997E-2</v>
      </c>
      <c r="DF286" s="5" t="s">
        <v>128</v>
      </c>
      <c r="DG286">
        <v>-24231.082559999999</v>
      </c>
      <c r="DH286">
        <v>2385.0914400000001</v>
      </c>
      <c r="DR286">
        <v>6762.9540699999998</v>
      </c>
      <c r="DS286">
        <v>-1553.1104399999999</v>
      </c>
      <c r="DT286">
        <v>123.94531000000001</v>
      </c>
      <c r="DU286">
        <v>-3.3709899999999999</v>
      </c>
      <c r="EB286" s="5" t="s">
        <v>128</v>
      </c>
      <c r="EC286">
        <v>-9961.3183499999996</v>
      </c>
      <c r="ED286">
        <v>878.14034000000004</v>
      </c>
      <c r="EM286" s="5" t="s">
        <v>128</v>
      </c>
      <c r="EN286">
        <v>789.59487999999999</v>
      </c>
      <c r="EO286">
        <v>-48.553609999999999</v>
      </c>
      <c r="EX286" s="5" t="s">
        <v>128</v>
      </c>
      <c r="EY286">
        <v>-4475.6725900000001</v>
      </c>
      <c r="EZ286">
        <v>387.05234000000002</v>
      </c>
      <c r="FJ286">
        <v>4081.67299</v>
      </c>
      <c r="FK286">
        <v>-915.55727000000002</v>
      </c>
      <c r="FL286">
        <v>89.820239999999998</v>
      </c>
      <c r="FM286">
        <v>-4.64811</v>
      </c>
      <c r="FN286">
        <v>0.12445000000000001</v>
      </c>
      <c r="FO286">
        <v>-1.3600000000000001E-3</v>
      </c>
    </row>
    <row r="287" spans="2:171" ht="15.95" customHeight="1">
      <c r="B287" s="6">
        <f t="shared" si="88"/>
        <v>-320367.83751547686</v>
      </c>
      <c r="C287" s="6">
        <f t="shared" si="68"/>
        <v>538603.81768615998</v>
      </c>
      <c r="D287" s="6">
        <f t="shared" si="69"/>
        <v>-195730.23334631394</v>
      </c>
      <c r="E287" s="6">
        <f t="shared" si="84"/>
        <v>113054.85244799999</v>
      </c>
      <c r="F287" s="6">
        <f t="shared" si="85"/>
        <v>3845.1954782396497</v>
      </c>
      <c r="G287" s="6">
        <f t="shared" si="62"/>
        <v>169.26814826050031</v>
      </c>
      <c r="H287" s="6">
        <f t="shared" si="63"/>
        <v>-5172.6436995199983</v>
      </c>
      <c r="I287" s="6">
        <f t="shared" si="83"/>
        <v>439.56998615089617</v>
      </c>
      <c r="J287" s="6">
        <f t="shared" si="70"/>
        <v>-2975.5131826400002</v>
      </c>
      <c r="K287" s="6">
        <f t="shared" ref="K287:K295" si="90">EN287+EO287*$B$15+EP287*$B$15^2+EQ287*$B$15^3+ER287*$B$15^4+ES287*$B$15^5+ET287*$B$15^6+EU287*$B$15^7+EV287*$B$15^8+EW287*$B$15^9</f>
        <v>526.79438224479259</v>
      </c>
      <c r="L287" s="6">
        <f t="shared" si="86"/>
        <v>-1385.8711431200004</v>
      </c>
      <c r="M287" s="6">
        <f t="shared" si="87"/>
        <v>604.06436771050846</v>
      </c>
      <c r="N287" s="15">
        <v>75</v>
      </c>
      <c r="O287" s="2" t="s">
        <v>99</v>
      </c>
      <c r="P287" s="4">
        <v>186.20699999999999</v>
      </c>
      <c r="Q287" s="26">
        <f>H38</f>
        <v>0</v>
      </c>
      <c r="R287" s="6">
        <f>IF($B$15&lt;2.36498,B287,IF($B$15&lt;2.36962,C287,IF($B$15&lt;2.67806,D287,IF($B$15&lt;2.684929,E287,IF($B$15&lt;5.50612,F287,IF($B$15&lt;10.52476,G287,IF($B$15&lt;10.588,H287,IF($B$15&lt;11.94674,I287,IF($B$15&lt;12.0185,J287,IF($B$15&lt;12.5142,K287,IF($B$15&lt;12.58933,L287,IF($B$15&lt;20.2,M287))))))))))))</f>
        <v>169.26814826050031</v>
      </c>
      <c r="S287" s="6">
        <f t="shared" si="49"/>
        <v>0</v>
      </c>
      <c r="T287" s="6" t="e">
        <f t="shared" si="50"/>
        <v>#DIV/0!</v>
      </c>
      <c r="U287" s="6" t="e">
        <f t="shared" si="89"/>
        <v>#DIV/0!</v>
      </c>
      <c r="V287" s="47" t="s">
        <v>183</v>
      </c>
      <c r="W287" s="3"/>
      <c r="X287">
        <v>0.63</v>
      </c>
      <c r="Y287" s="3" t="e">
        <f t="shared" si="25"/>
        <v>#DIV/0!</v>
      </c>
      <c r="Z287" s="36" t="e">
        <f t="shared" si="72"/>
        <v>#DIV/0!</v>
      </c>
      <c r="AA287" s="3" t="e">
        <f t="shared" si="65"/>
        <v>#DIV/0!</v>
      </c>
      <c r="AB287" s="36" t="e">
        <f t="shared" si="73"/>
        <v>#DIV/0!</v>
      </c>
      <c r="AC287" s="3" t="e">
        <f t="shared" si="74"/>
        <v>#DIV/0!</v>
      </c>
      <c r="AD287" s="36" t="e">
        <f t="shared" si="75"/>
        <v>#DIV/0!</v>
      </c>
      <c r="AE287" s="36" t="e">
        <f t="shared" si="76"/>
        <v>#DIV/0!</v>
      </c>
      <c r="AF287" s="36" t="e">
        <f t="shared" si="66"/>
        <v>#DIV/0!</v>
      </c>
      <c r="AG287" s="3" t="e">
        <f t="shared" si="67"/>
        <v>#DIV/0!</v>
      </c>
      <c r="AH287" s="36" t="e">
        <f t="shared" si="77"/>
        <v>#DIV/0!</v>
      </c>
      <c r="AI287" s="36" t="e">
        <f t="shared" si="78"/>
        <v>#DIV/0!</v>
      </c>
      <c r="AJ287" s="3" t="e">
        <f t="shared" si="79"/>
        <v>#DIV/0!</v>
      </c>
      <c r="AK287" s="36" t="e">
        <f t="shared" si="80"/>
        <v>#DIV/0!</v>
      </c>
      <c r="AL287" s="36" t="e">
        <f t="shared" si="81"/>
        <v>#DIV/0!</v>
      </c>
      <c r="AM287" s="36" t="e">
        <f t="shared" si="82"/>
        <v>#DIV/0!</v>
      </c>
      <c r="AP287" s="32">
        <v>75</v>
      </c>
      <c r="AQ287" s="48" t="s">
        <v>99</v>
      </c>
      <c r="AR287"/>
      <c r="AS287" s="5">
        <v>45143.107759999999</v>
      </c>
      <c r="AT287" s="5">
        <v>-44372.045169999998</v>
      </c>
      <c r="AU287" s="5">
        <v>15858.450790000001</v>
      </c>
      <c r="AV287" s="5">
        <v>-1986.6069600000001</v>
      </c>
      <c r="AW287" s="5"/>
      <c r="AX287" s="5"/>
      <c r="AY287" s="5"/>
      <c r="AZ287" s="5"/>
      <c r="BA287" s="5"/>
      <c r="BB287" s="5"/>
      <c r="BC287" s="5" t="s">
        <v>128</v>
      </c>
      <c r="BD287" s="5">
        <v>-220422.19579</v>
      </c>
      <c r="BE287" s="5">
        <v>94312.377420000004</v>
      </c>
      <c r="BF287" s="5"/>
      <c r="BG287" s="5"/>
      <c r="BH287" s="5"/>
      <c r="BO287">
        <v>44969.066189999998</v>
      </c>
      <c r="BP287">
        <v>-40289.547919999997</v>
      </c>
      <c r="BQ287">
        <v>12981.946809999999</v>
      </c>
      <c r="BR287">
        <v>-1452.78189</v>
      </c>
      <c r="BY287" s="5" t="s">
        <v>128</v>
      </c>
      <c r="BZ287">
        <v>-52973.886599999998</v>
      </c>
      <c r="CA287">
        <v>20629.8135</v>
      </c>
      <c r="CK287">
        <v>5827.0124500000002</v>
      </c>
      <c r="CL287">
        <v>2017.50298</v>
      </c>
      <c r="CM287">
        <v>-3004.9143300000001</v>
      </c>
      <c r="CN287">
        <v>957.79543000000001</v>
      </c>
      <c r="CO287">
        <v>-127.08814</v>
      </c>
      <c r="CP287">
        <v>6.2286799999999998</v>
      </c>
      <c r="CV287">
        <v>6747.0862299999999</v>
      </c>
      <c r="CW287">
        <v>-3060.9306700000002</v>
      </c>
      <c r="CX287">
        <v>592.89540999999997</v>
      </c>
      <c r="CY287">
        <v>-59.235689999999998</v>
      </c>
      <c r="CZ287">
        <v>3.00522</v>
      </c>
      <c r="DA287">
        <v>-6.1460000000000001E-2</v>
      </c>
      <c r="DF287" s="5" t="s">
        <v>128</v>
      </c>
      <c r="DG287">
        <v>-22257.521659999999</v>
      </c>
      <c r="DH287">
        <v>2122.8725100000001</v>
      </c>
      <c r="DR287">
        <v>3118.3485900000001</v>
      </c>
      <c r="DS287">
        <v>-609.69951000000003</v>
      </c>
      <c r="DT287">
        <v>42.874949999999998</v>
      </c>
      <c r="DU287">
        <v>-1.05308</v>
      </c>
      <c r="EB287" s="5" t="s">
        <v>128</v>
      </c>
      <c r="EC287">
        <v>-9444.1983700000001</v>
      </c>
      <c r="ED287">
        <v>803.76306999999997</v>
      </c>
      <c r="EN287">
        <v>2036.4458400000001</v>
      </c>
      <c r="EO287">
        <v>-273.15244999999999</v>
      </c>
      <c r="EP287">
        <v>11.66512</v>
      </c>
      <c r="EQ287">
        <v>-0.12828999999999999</v>
      </c>
      <c r="EX287" s="5" t="s">
        <v>128</v>
      </c>
      <c r="EY287">
        <v>-4232.0106100000003</v>
      </c>
      <c r="EZ287">
        <v>353.64555999999999</v>
      </c>
      <c r="FJ287">
        <v>3897.6656400000002</v>
      </c>
      <c r="FK287">
        <v>-831.86459000000002</v>
      </c>
      <c r="FL287">
        <v>77.132850000000005</v>
      </c>
      <c r="FM287">
        <v>-3.7563900000000001</v>
      </c>
      <c r="FN287">
        <v>9.4439999999999996E-2</v>
      </c>
      <c r="FO287" s="31">
        <v>-9.7054599999999997E-4</v>
      </c>
    </row>
    <row r="288" spans="2:171" ht="15.95" customHeight="1">
      <c r="B288" s="6">
        <f t="shared" si="88"/>
        <v>-259344.86738595122</v>
      </c>
      <c r="C288" s="6">
        <f t="shared" si="68"/>
        <v>503287.20681871998</v>
      </c>
      <c r="D288" s="6">
        <f t="shared" si="69"/>
        <v>-158651.41596467572</v>
      </c>
      <c r="E288" s="6">
        <f t="shared" si="84"/>
        <v>121832.61197992001</v>
      </c>
      <c r="F288" s="6">
        <f t="shared" si="85"/>
        <v>1667.4575153346232</v>
      </c>
      <c r="G288" s="6">
        <f t="shared" si="62"/>
        <v>174.34662880402493</v>
      </c>
      <c r="H288" s="6">
        <f t="shared" si="63"/>
        <v>-5382.2434860799985</v>
      </c>
      <c r="I288" s="6">
        <f t="shared" si="83"/>
        <v>448.43468363091534</v>
      </c>
      <c r="J288" s="6">
        <f t="shared" si="70"/>
        <v>-3011.5877627999989</v>
      </c>
      <c r="K288" s="6">
        <f t="shared" si="90"/>
        <v>534.86812857161203</v>
      </c>
      <c r="L288" s="6">
        <f t="shared" si="86"/>
        <v>-1395.7777599999999</v>
      </c>
      <c r="M288" s="6">
        <f t="shared" si="87"/>
        <v>612.70684945170592</v>
      </c>
      <c r="N288" s="15">
        <v>76</v>
      </c>
      <c r="O288" s="2" t="s">
        <v>100</v>
      </c>
      <c r="P288" s="4">
        <v>190.2</v>
      </c>
      <c r="Q288" s="26">
        <f>I38</f>
        <v>0</v>
      </c>
      <c r="R288" s="6">
        <f>IF($B$15&lt;2.454905,B288,IF($B$15&lt;2.459495,C288,IF($B$15&lt;2.78832,D288,IF($B$15&lt;2.7942246,E288,IF($B$15&lt;5.478727,F288,IF($B$15&lt;10.86,G288,IF($B$15&lt;10.92525,H288,IF($B$15&lt;12.37262,I288,IF($B$15&lt;12.44693,J288,IF($B$15&lt;12.955,K288,IF($B$15&lt;13.03284,L288,IF($B$15&lt;20.2,M288))))))))))))</f>
        <v>174.34662880402493</v>
      </c>
      <c r="S288" s="6">
        <f t="shared" si="49"/>
        <v>0</v>
      </c>
      <c r="T288" s="6" t="e">
        <f t="shared" si="50"/>
        <v>#DIV/0!</v>
      </c>
      <c r="U288" s="6" t="e">
        <f t="shared" si="89"/>
        <v>#DIV/0!</v>
      </c>
      <c r="V288" s="47" t="s">
        <v>183</v>
      </c>
      <c r="W288" s="3"/>
      <c r="X288">
        <v>0.625</v>
      </c>
      <c r="Y288" s="3" t="e">
        <f t="shared" si="25"/>
        <v>#DIV/0!</v>
      </c>
      <c r="Z288" s="36" t="e">
        <f t="shared" si="72"/>
        <v>#DIV/0!</v>
      </c>
      <c r="AA288" s="3" t="e">
        <f t="shared" si="65"/>
        <v>#DIV/0!</v>
      </c>
      <c r="AB288" s="36" t="e">
        <f t="shared" si="73"/>
        <v>#DIV/0!</v>
      </c>
      <c r="AC288" s="3" t="e">
        <f t="shared" si="74"/>
        <v>#DIV/0!</v>
      </c>
      <c r="AD288" s="36" t="e">
        <f t="shared" si="75"/>
        <v>#DIV/0!</v>
      </c>
      <c r="AE288" s="36" t="e">
        <f t="shared" si="76"/>
        <v>#DIV/0!</v>
      </c>
      <c r="AF288" s="36" t="e">
        <f t="shared" si="66"/>
        <v>#DIV/0!</v>
      </c>
      <c r="AG288" s="3" t="e">
        <f t="shared" si="67"/>
        <v>#DIV/0!</v>
      </c>
      <c r="AH288" s="36" t="e">
        <f t="shared" si="77"/>
        <v>#DIV/0!</v>
      </c>
      <c r="AI288" s="36" t="e">
        <f t="shared" si="78"/>
        <v>#DIV/0!</v>
      </c>
      <c r="AJ288" s="3" t="e">
        <f t="shared" si="79"/>
        <v>#DIV/0!</v>
      </c>
      <c r="AK288" s="36" t="e">
        <f t="shared" si="80"/>
        <v>#DIV/0!</v>
      </c>
      <c r="AL288" s="36" t="e">
        <f t="shared" si="81"/>
        <v>#DIV/0!</v>
      </c>
      <c r="AM288" s="36" t="e">
        <f t="shared" si="82"/>
        <v>#DIV/0!</v>
      </c>
      <c r="AP288" s="32">
        <v>76</v>
      </c>
      <c r="AQ288" s="48" t="s">
        <v>100</v>
      </c>
      <c r="AR288"/>
      <c r="AS288" s="5">
        <v>42767.226699999999</v>
      </c>
      <c r="AT288" s="5">
        <v>-40566.15191</v>
      </c>
      <c r="AU288" s="5">
        <v>13992.81637</v>
      </c>
      <c r="AV288" s="5">
        <v>-1691.9298899999999</v>
      </c>
      <c r="AW288" s="5"/>
      <c r="AX288" s="5"/>
      <c r="AY288" s="5"/>
      <c r="AZ288" s="5"/>
      <c r="BA288" s="5"/>
      <c r="BB288" s="5"/>
      <c r="BC288" s="5" t="s">
        <v>128</v>
      </c>
      <c r="BD288" s="5">
        <v>-217335.00188</v>
      </c>
      <c r="BE288" s="5">
        <v>89540.532890000002</v>
      </c>
      <c r="BF288" s="5"/>
      <c r="BG288" s="5"/>
      <c r="BH288" s="5"/>
      <c r="BO288">
        <v>42235.666190000004</v>
      </c>
      <c r="BP288">
        <v>-36579.100659999996</v>
      </c>
      <c r="BQ288">
        <v>11415.791740000001</v>
      </c>
      <c r="BR288">
        <v>-1239.09114</v>
      </c>
      <c r="BY288" s="5" t="s">
        <v>128</v>
      </c>
      <c r="BZ288">
        <v>-61321.154730000002</v>
      </c>
      <c r="CA288">
        <v>22757.674790000001</v>
      </c>
      <c r="CK288">
        <v>8186.74568</v>
      </c>
      <c r="CL288">
        <v>-1200.6963900000001</v>
      </c>
      <c r="CM288">
        <v>-1280.3628799999999</v>
      </c>
      <c r="CN288">
        <v>509.97795000000002</v>
      </c>
      <c r="CO288">
        <v>-70.614360000000005</v>
      </c>
      <c r="CP288">
        <v>3.4498600000000001</v>
      </c>
      <c r="CV288">
        <v>6823.3097100000005</v>
      </c>
      <c r="CW288">
        <v>-3063.8262399999999</v>
      </c>
      <c r="CX288">
        <v>586.87463000000002</v>
      </c>
      <c r="CY288">
        <v>-57.935769999999998</v>
      </c>
      <c r="CZ288">
        <v>2.9015900000000001</v>
      </c>
      <c r="DA288">
        <v>-5.8520000000000003E-2</v>
      </c>
      <c r="DF288" s="5" t="s">
        <v>128</v>
      </c>
      <c r="DG288">
        <v>-21018.46358</v>
      </c>
      <c r="DH288">
        <v>1942.8702900000001</v>
      </c>
      <c r="DR288">
        <v>3044.6430099999998</v>
      </c>
      <c r="DS288">
        <v>-584.10808999999995</v>
      </c>
      <c r="DT288">
        <v>40.317950000000003</v>
      </c>
      <c r="DU288">
        <v>-0.97206999999999999</v>
      </c>
      <c r="EB288" s="5" t="s">
        <v>128</v>
      </c>
      <c r="EC288">
        <v>-8892.4436499999993</v>
      </c>
      <c r="ED288">
        <v>730.72265000000004</v>
      </c>
      <c r="EN288">
        <v>2138.6602899999998</v>
      </c>
      <c r="EO288">
        <v>-301.53483</v>
      </c>
      <c r="EP288">
        <v>14.490629999999999</v>
      </c>
      <c r="EQ288">
        <v>-0.22176999999999999</v>
      </c>
      <c r="EX288" s="5" t="s">
        <v>128</v>
      </c>
      <c r="EY288">
        <v>-3983.6322799999998</v>
      </c>
      <c r="EZ288">
        <v>321.55250000000001</v>
      </c>
      <c r="FJ288">
        <v>3806.6794199999999</v>
      </c>
      <c r="FK288">
        <v>-795.59573999999998</v>
      </c>
      <c r="FL288">
        <v>72.151899999999998</v>
      </c>
      <c r="FM288">
        <v>-3.4316900000000001</v>
      </c>
      <c r="FN288" s="31">
        <v>8.4129999999999996E-2</v>
      </c>
      <c r="FO288" s="31">
        <v>-8.4169900000000001E-4</v>
      </c>
    </row>
    <row r="289" spans="2:171" ht="15.95" customHeight="1">
      <c r="B289" s="6">
        <f t="shared" si="88"/>
        <v>-215654.98073654331</v>
      </c>
      <c r="C289" s="6">
        <f t="shared" si="68"/>
        <v>460955.01180088002</v>
      </c>
      <c r="D289" s="6">
        <f t="shared" si="69"/>
        <v>-176245.23667700391</v>
      </c>
      <c r="E289" s="6">
        <f t="shared" si="84"/>
        <v>140005.6137012</v>
      </c>
      <c r="F289" s="6">
        <f t="shared" si="85"/>
        <v>-2736.0644206767756</v>
      </c>
      <c r="G289" s="6">
        <f t="shared" si="62"/>
        <v>181.98996912546204</v>
      </c>
      <c r="H289" s="6">
        <f t="shared" si="63"/>
        <v>-5594.704516400001</v>
      </c>
      <c r="I289" s="6">
        <f t="shared" si="83"/>
        <v>455.00094650826759</v>
      </c>
      <c r="J289" s="6">
        <f t="shared" si="70"/>
        <v>-3056.0418076800006</v>
      </c>
      <c r="K289" s="6">
        <f t="shared" si="90"/>
        <v>537.75730057604585</v>
      </c>
      <c r="L289" s="6">
        <f t="shared" si="86"/>
        <v>-1623.2925824799995</v>
      </c>
      <c r="M289" s="6">
        <f t="shared" si="87"/>
        <v>585.61242143128379</v>
      </c>
      <c r="N289" s="15">
        <v>77</v>
      </c>
      <c r="O289" s="2" t="s">
        <v>101</v>
      </c>
      <c r="P289" s="4">
        <v>192.22</v>
      </c>
      <c r="Q289" s="26">
        <f>J38</f>
        <v>0</v>
      </c>
      <c r="R289" s="6">
        <f>IF($B$15&lt;2.54832,B289,IF($B$15&lt;2.55308,C289,IF($B$15&lt;2.907969,D289,IF($B$15&lt;2.91283,E289,IF($B$15&lt;5.478727,F289,IF($B$15&lt;11.204,G289,IF($B$15&lt;11.27128,H289,IF($B$15&lt;12.81128,I289,IF($B$15&lt;12.88822,J289,IF($B$15&lt;13.40508,K289,IF($B$15&lt;13.477,L289,IF($B$15&lt;20.2,M289))))))))))))</f>
        <v>181.98996912546204</v>
      </c>
      <c r="S289" s="6">
        <f t="shared" si="49"/>
        <v>0</v>
      </c>
      <c r="T289" s="6" t="e">
        <f t="shared" si="50"/>
        <v>#DIV/0!</v>
      </c>
      <c r="U289" s="6" t="e">
        <f t="shared" si="89"/>
        <v>#DIV/0!</v>
      </c>
      <c r="V289" s="47" t="s">
        <v>183</v>
      </c>
      <c r="W289" s="3"/>
      <c r="X289">
        <v>0.62</v>
      </c>
      <c r="Y289" s="3" t="e">
        <f t="shared" si="25"/>
        <v>#DIV/0!</v>
      </c>
      <c r="Z289" s="36" t="e">
        <f t="shared" si="72"/>
        <v>#DIV/0!</v>
      </c>
      <c r="AA289" s="3" t="e">
        <f t="shared" si="65"/>
        <v>#DIV/0!</v>
      </c>
      <c r="AB289" s="36" t="e">
        <f t="shared" si="73"/>
        <v>#DIV/0!</v>
      </c>
      <c r="AC289" s="3" t="e">
        <f t="shared" si="74"/>
        <v>#DIV/0!</v>
      </c>
      <c r="AD289" s="36" t="e">
        <f t="shared" si="75"/>
        <v>#DIV/0!</v>
      </c>
      <c r="AE289" s="36" t="e">
        <f t="shared" si="76"/>
        <v>#DIV/0!</v>
      </c>
      <c r="AF289" s="36" t="e">
        <f t="shared" si="66"/>
        <v>#DIV/0!</v>
      </c>
      <c r="AG289" s="3" t="e">
        <f t="shared" si="67"/>
        <v>#DIV/0!</v>
      </c>
      <c r="AH289" s="36" t="e">
        <f t="shared" si="77"/>
        <v>#DIV/0!</v>
      </c>
      <c r="AI289" s="36" t="e">
        <f t="shared" si="78"/>
        <v>#DIV/0!</v>
      </c>
      <c r="AJ289" s="3" t="e">
        <f t="shared" si="79"/>
        <v>#DIV/0!</v>
      </c>
      <c r="AK289" s="36" t="e">
        <f t="shared" si="80"/>
        <v>#DIV/0!</v>
      </c>
      <c r="AL289" s="36" t="e">
        <f t="shared" si="81"/>
        <v>#DIV/0!</v>
      </c>
      <c r="AM289" s="36" t="e">
        <f t="shared" si="82"/>
        <v>#DIV/0!</v>
      </c>
      <c r="AP289" s="32">
        <v>77</v>
      </c>
      <c r="AQ289" s="48" t="s">
        <v>101</v>
      </c>
      <c r="AR289"/>
      <c r="AS289" s="5">
        <v>41487.791210000003</v>
      </c>
      <c r="AT289" s="5">
        <v>-38053.126920000002</v>
      </c>
      <c r="AU289" s="5">
        <v>12685.30624</v>
      </c>
      <c r="AV289" s="5">
        <v>-1481.9964</v>
      </c>
      <c r="AW289" s="5"/>
      <c r="AX289" s="5"/>
      <c r="AY289" s="5"/>
      <c r="AZ289" s="5"/>
      <c r="BA289" s="5"/>
      <c r="BB289" s="5"/>
      <c r="BC289" s="5" t="s">
        <v>128</v>
      </c>
      <c r="BD289" s="5">
        <v>-210119.85125000001</v>
      </c>
      <c r="BE289">
        <v>83384.05356</v>
      </c>
      <c r="BF289" s="5"/>
      <c r="BG289" s="5"/>
      <c r="BH289" s="5"/>
      <c r="BO289">
        <v>48273.753969999998</v>
      </c>
      <c r="BP289">
        <v>-42070.723489999997</v>
      </c>
      <c r="BQ289">
        <v>13091.2605</v>
      </c>
      <c r="BR289">
        <v>-1407.82464</v>
      </c>
      <c r="BY289" s="5" t="s">
        <v>128</v>
      </c>
      <c r="BZ289">
        <v>-76049.188729999994</v>
      </c>
      <c r="CA289">
        <v>26845.77565</v>
      </c>
      <c r="CK289">
        <v>14681.283869999999</v>
      </c>
      <c r="CL289">
        <v>-9473.2506599999997</v>
      </c>
      <c r="CM289">
        <v>2900.0551300000002</v>
      </c>
      <c r="CN289">
        <v>-528.04661999999996</v>
      </c>
      <c r="CO289">
        <v>55.961170000000003</v>
      </c>
      <c r="CP289">
        <v>-2.6219999999999999</v>
      </c>
      <c r="CV289">
        <v>6656.1445999999996</v>
      </c>
      <c r="CW289">
        <v>-2907.6202899999998</v>
      </c>
      <c r="CX289">
        <v>541.45826999999997</v>
      </c>
      <c r="CY289">
        <v>-51.903739999999999</v>
      </c>
      <c r="CZ289">
        <v>2.5198700000000001</v>
      </c>
      <c r="DA289">
        <v>-4.9149999999999999E-2</v>
      </c>
      <c r="DF289" s="5" t="s">
        <v>128</v>
      </c>
      <c r="DG289">
        <v>-20061.130990000001</v>
      </c>
      <c r="DH289">
        <v>1797.5182</v>
      </c>
      <c r="DR289">
        <v>2772.5044600000001</v>
      </c>
      <c r="DS289">
        <v>-506.20263</v>
      </c>
      <c r="DT289">
        <v>33.265790000000003</v>
      </c>
      <c r="DU289">
        <v>-0.76393999999999995</v>
      </c>
      <c r="EB289" s="5" t="s">
        <v>128</v>
      </c>
      <c r="EC289">
        <v>-8457.6368000000002</v>
      </c>
      <c r="ED289">
        <v>671.17233999999996</v>
      </c>
      <c r="EN289">
        <v>2091.5082299999999</v>
      </c>
      <c r="EO289">
        <v>-292.96915999999999</v>
      </c>
      <c r="EP289">
        <v>14.26723</v>
      </c>
      <c r="EQ289">
        <v>-0.23025999999999999</v>
      </c>
      <c r="EX289" s="5" t="s">
        <v>128</v>
      </c>
      <c r="EY289">
        <v>-4322.3784299999998</v>
      </c>
      <c r="EZ289">
        <v>335.37349</v>
      </c>
      <c r="FJ289">
        <v>2642.4831199999999</v>
      </c>
      <c r="FK289">
        <v>-438.91327999999999</v>
      </c>
      <c r="FL289">
        <v>29.292259999999999</v>
      </c>
      <c r="FM289">
        <v>-0.88354999999999995</v>
      </c>
      <c r="FN289" s="31">
        <v>8.9200000000000008E-3</v>
      </c>
      <c r="FO289" s="31">
        <v>4.0963000000000001E-5</v>
      </c>
    </row>
    <row r="290" spans="2:171" ht="15.95" customHeight="1">
      <c r="B290" s="6">
        <f t="shared" si="88"/>
        <v>-176334.99367600877</v>
      </c>
      <c r="C290" s="6">
        <f t="shared" si="68"/>
        <v>719452.57038224</v>
      </c>
      <c r="D290" s="6">
        <f t="shared" si="69"/>
        <v>-153753.1077166918</v>
      </c>
      <c r="E290" s="6">
        <f t="shared" si="84"/>
        <v>134174.76830712002</v>
      </c>
      <c r="F290" s="6">
        <f t="shared" si="85"/>
        <v>-7918.0234331836691</v>
      </c>
      <c r="G290" s="6">
        <f t="shared" si="62"/>
        <v>188.87532993098921</v>
      </c>
      <c r="H290" s="6">
        <f t="shared" si="63"/>
        <v>-5745.34500544</v>
      </c>
      <c r="I290" s="6">
        <f t="shared" si="83"/>
        <v>471.74267388701719</v>
      </c>
      <c r="J290" s="6">
        <f t="shared" si="70"/>
        <v>-3081.2442988800003</v>
      </c>
      <c r="K290" s="6">
        <f t="shared" si="90"/>
        <v>464.5980522204826</v>
      </c>
      <c r="L290" s="6">
        <f t="shared" si="86"/>
        <v>-1411.68306824</v>
      </c>
      <c r="M290" s="6">
        <f t="shared" si="87"/>
        <v>600.80610300138949</v>
      </c>
      <c r="N290" s="15">
        <v>78</v>
      </c>
      <c r="O290" s="2" t="s">
        <v>76</v>
      </c>
      <c r="P290" s="4">
        <v>195.08</v>
      </c>
      <c r="Q290" s="26">
        <f>K38</f>
        <v>0</v>
      </c>
      <c r="R290" s="6">
        <f>IF($B$15&lt;2.6450545,B290,IF($B$15&lt;2.6478735,C290,IF($B$15&lt;3.026344,D290,IF($B$15&lt;3.030858,E290,IF($B$15&lt;5.50612,F290,IF($B$15&lt;11.55214,G290,IF($B$15&lt;11.62152,H290,IF($B$15&lt;13.25933,I290,IF($B$15&lt;13.33896,J290,IF($B$15&lt;13.866,K290,IF($B$15&lt;13.9493,L290,IF($B$15&lt;20.2,M290))))))))))))</f>
        <v>188.87532993098921</v>
      </c>
      <c r="S290" s="6">
        <f t="shared" si="49"/>
        <v>0</v>
      </c>
      <c r="T290" s="6" t="e">
        <f t="shared" si="50"/>
        <v>#DIV/0!</v>
      </c>
      <c r="U290" s="6" t="e">
        <f t="shared" si="89"/>
        <v>#DIV/0!</v>
      </c>
      <c r="V290" s="47" t="s">
        <v>183</v>
      </c>
      <c r="W290" s="3"/>
      <c r="X290">
        <v>0.61499999999999999</v>
      </c>
      <c r="Y290" s="3" t="e">
        <f t="shared" si="25"/>
        <v>#DIV/0!</v>
      </c>
      <c r="Z290" s="36" t="e">
        <f t="shared" si="72"/>
        <v>#DIV/0!</v>
      </c>
      <c r="AA290" s="3" t="e">
        <f t="shared" si="65"/>
        <v>#DIV/0!</v>
      </c>
      <c r="AB290" s="36" t="e">
        <f t="shared" si="73"/>
        <v>#DIV/0!</v>
      </c>
      <c r="AC290" s="3" t="e">
        <f t="shared" si="74"/>
        <v>#DIV/0!</v>
      </c>
      <c r="AD290" s="36" t="e">
        <f t="shared" si="75"/>
        <v>#DIV/0!</v>
      </c>
      <c r="AE290" s="36" t="e">
        <f t="shared" si="76"/>
        <v>#DIV/0!</v>
      </c>
      <c r="AF290" s="36" t="e">
        <f t="shared" si="66"/>
        <v>#DIV/0!</v>
      </c>
      <c r="AG290" s="3" t="e">
        <f t="shared" si="67"/>
        <v>#DIV/0!</v>
      </c>
      <c r="AH290" s="36" t="e">
        <f t="shared" si="77"/>
        <v>#DIV/0!</v>
      </c>
      <c r="AI290" s="36" t="e">
        <f t="shared" si="78"/>
        <v>#DIV/0!</v>
      </c>
      <c r="AJ290" s="3" t="e">
        <f t="shared" si="79"/>
        <v>#DIV/0!</v>
      </c>
      <c r="AK290" s="36" t="e">
        <f t="shared" si="80"/>
        <v>#DIV/0!</v>
      </c>
      <c r="AL290" s="36" t="e">
        <f t="shared" si="81"/>
        <v>#DIV/0!</v>
      </c>
      <c r="AM290" s="36" t="e">
        <f t="shared" si="82"/>
        <v>#DIV/0!</v>
      </c>
      <c r="AP290" s="32">
        <v>78</v>
      </c>
      <c r="AQ290" s="1" t="s">
        <v>76</v>
      </c>
      <c r="AR290"/>
      <c r="AS290" s="5">
        <v>39823.74035</v>
      </c>
      <c r="AT290" s="5">
        <v>-35285.282189999998</v>
      </c>
      <c r="AU290" s="5">
        <v>11359.398450000001</v>
      </c>
      <c r="AV290" s="5">
        <v>-1281.35644</v>
      </c>
      <c r="AW290" s="5"/>
      <c r="AX290" s="5"/>
      <c r="AY290" s="5"/>
      <c r="AZ290" s="5"/>
      <c r="BA290" s="5"/>
      <c r="BB290" s="5"/>
      <c r="BC290" s="5" t="s">
        <v>128</v>
      </c>
      <c r="BD290">
        <v>-348855.90779999999</v>
      </c>
      <c r="BE290">
        <v>132742.10712999999</v>
      </c>
      <c r="BF290" s="5"/>
      <c r="BG290" s="5"/>
      <c r="BH290" s="5"/>
      <c r="BO290">
        <v>46036.686399999999</v>
      </c>
      <c r="BP290">
        <v>-39195.517339999999</v>
      </c>
      <c r="BQ290">
        <v>11958.469870000001</v>
      </c>
      <c r="BR290">
        <v>-1264.02099</v>
      </c>
      <c r="BY290" s="5" t="s">
        <v>128</v>
      </c>
      <c r="BZ290">
        <v>-77807.066390000007</v>
      </c>
      <c r="CA290">
        <v>26339.691190000001</v>
      </c>
      <c r="CK290">
        <v>29458.994330000001</v>
      </c>
      <c r="CL290">
        <v>-26972.062519999999</v>
      </c>
      <c r="CM290">
        <v>11102.924650000001</v>
      </c>
      <c r="CN290">
        <v>-2426.1956100000002</v>
      </c>
      <c r="CO290">
        <v>272.87187999999998</v>
      </c>
      <c r="CP290">
        <v>-12.42456</v>
      </c>
      <c r="CV290">
        <v>6685.1102899999996</v>
      </c>
      <c r="CW290">
        <v>-2886.6859800000002</v>
      </c>
      <c r="CX290">
        <v>532.04222000000004</v>
      </c>
      <c r="CY290">
        <v>-50.535530000000001</v>
      </c>
      <c r="CZ290">
        <v>2.43364</v>
      </c>
      <c r="DA290">
        <v>-4.7140000000000001E-2</v>
      </c>
      <c r="DF290" s="5" t="s">
        <v>128</v>
      </c>
      <c r="DG290">
        <v>-19113.632099999999</v>
      </c>
      <c r="DH290">
        <v>1661.0694699999999</v>
      </c>
      <c r="DR290">
        <v>2804.2366000000002</v>
      </c>
      <c r="DS290">
        <v>-504.87813</v>
      </c>
      <c r="DT290">
        <v>32.645879999999998</v>
      </c>
      <c r="DU290">
        <v>-0.73612</v>
      </c>
      <c r="EB290" s="5" t="s">
        <v>128</v>
      </c>
      <c r="EC290">
        <v>-8045.6767600000003</v>
      </c>
      <c r="ED290">
        <v>616.85293999999999</v>
      </c>
      <c r="EN290">
        <v>853.19443000000001</v>
      </c>
      <c r="EO290">
        <v>-17.13081</v>
      </c>
      <c r="EP290">
        <v>-5.9790400000000004</v>
      </c>
      <c r="EQ290">
        <v>0.26193</v>
      </c>
      <c r="EX290" s="5" t="s">
        <v>128</v>
      </c>
      <c r="EY290">
        <v>-3591.8329100000001</v>
      </c>
      <c r="EZ290">
        <v>270.89337</v>
      </c>
      <c r="FJ290">
        <v>2621.2496999999998</v>
      </c>
      <c r="FK290">
        <v>-420.34142000000003</v>
      </c>
      <c r="FL290">
        <v>26.205249999999999</v>
      </c>
      <c r="FM290" s="31">
        <v>-0.66432000000000002</v>
      </c>
      <c r="FN290" s="31">
        <v>1.65E-3</v>
      </c>
      <c r="FO290" s="31">
        <v>1.3361100000000001E-4</v>
      </c>
    </row>
    <row r="291" spans="2:171" ht="15.95" customHeight="1">
      <c r="B291" s="6">
        <f t="shared" si="88"/>
        <v>-147467.36691611097</v>
      </c>
      <c r="C291" s="6">
        <f t="shared" si="68"/>
        <v>352006.67329599999</v>
      </c>
      <c r="D291" s="6">
        <f t="shared" si="69"/>
        <v>-101089.46751047909</v>
      </c>
      <c r="E291" s="6">
        <f t="shared" si="84"/>
        <v>85569.723873279974</v>
      </c>
      <c r="F291" s="6">
        <f t="shared" si="85"/>
        <v>-10330.088586764992</v>
      </c>
      <c r="G291" s="6">
        <f t="shared" si="62"/>
        <v>197.33415850761594</v>
      </c>
      <c r="H291" s="6">
        <f t="shared" si="63"/>
        <v>-5887.1371295200006</v>
      </c>
      <c r="I291" s="6">
        <f t="shared" si="83"/>
        <v>490.03247420654043</v>
      </c>
      <c r="J291" s="6">
        <f t="shared" si="70"/>
        <v>-3098.1535679200006</v>
      </c>
      <c r="K291" s="6">
        <f t="shared" si="90"/>
        <v>781.26150417111501</v>
      </c>
      <c r="L291" s="6">
        <f t="shared" si="86"/>
        <v>-1869.3841539199998</v>
      </c>
      <c r="M291" s="6">
        <f t="shared" si="87"/>
        <v>546.63134404944128</v>
      </c>
      <c r="N291" s="15">
        <v>79</v>
      </c>
      <c r="O291" s="2" t="s">
        <v>77</v>
      </c>
      <c r="P291" s="4">
        <v>196.9665</v>
      </c>
      <c r="Q291" s="26">
        <f>L38</f>
        <v>0</v>
      </c>
      <c r="R291" s="6">
        <f>IF($B$15&lt;2.740435,B291,IF($B$15&lt;2.745565,C291,IF($B$15&lt;3.143173,D291,IF($B$15&lt;3.14954,E291,IF($B$15&lt;5.50612,F291,IF($B$15&lt;11.90678,G291,IF($B$15&lt;11.9783,H291,IF($B$15&lt;13.71987,I291,IF($B$15&lt;13.80227,J291,IF($B$15&lt;14.33845,K291,IF($B$15&lt;14.4069,L291,IF($B$15&lt;20.2,M291))))))))))))</f>
        <v>197.33415850761594</v>
      </c>
      <c r="S291" s="6">
        <f t="shared" si="49"/>
        <v>0</v>
      </c>
      <c r="T291" s="6" t="e">
        <f t="shared" si="50"/>
        <v>#DIV/0!</v>
      </c>
      <c r="U291" s="6" t="e">
        <f t="shared" si="89"/>
        <v>#DIV/0!</v>
      </c>
      <c r="V291" s="47" t="s">
        <v>189</v>
      </c>
      <c r="W291" s="3"/>
      <c r="X291">
        <v>0.61</v>
      </c>
      <c r="Y291" s="3" t="e">
        <f t="shared" si="25"/>
        <v>#DIV/0!</v>
      </c>
      <c r="Z291" s="36" t="e">
        <f t="shared" si="72"/>
        <v>#DIV/0!</v>
      </c>
      <c r="AA291" s="3" t="e">
        <f t="shared" si="65"/>
        <v>#DIV/0!</v>
      </c>
      <c r="AB291" s="36" t="e">
        <f t="shared" si="73"/>
        <v>#DIV/0!</v>
      </c>
      <c r="AC291" s="3" t="e">
        <f t="shared" si="74"/>
        <v>#DIV/0!</v>
      </c>
      <c r="AD291" s="36" t="e">
        <f t="shared" si="75"/>
        <v>#DIV/0!</v>
      </c>
      <c r="AE291" s="36" t="e">
        <f t="shared" si="76"/>
        <v>#DIV/0!</v>
      </c>
      <c r="AF291" s="36" t="e">
        <f t="shared" si="66"/>
        <v>#DIV/0!</v>
      </c>
      <c r="AG291" s="3" t="e">
        <f t="shared" si="67"/>
        <v>#DIV/0!</v>
      </c>
      <c r="AH291" s="36" t="e">
        <f t="shared" si="77"/>
        <v>#DIV/0!</v>
      </c>
      <c r="AI291" s="36" t="e">
        <f t="shared" si="78"/>
        <v>#DIV/0!</v>
      </c>
      <c r="AJ291" s="3" t="e">
        <f t="shared" si="79"/>
        <v>#DIV/0!</v>
      </c>
      <c r="AK291" s="36" t="e">
        <f t="shared" si="80"/>
        <v>#DIV/0!</v>
      </c>
      <c r="AL291" s="36" t="e">
        <f t="shared" si="81"/>
        <v>#DIV/0!</v>
      </c>
      <c r="AM291" s="36" t="e">
        <f t="shared" si="82"/>
        <v>#DIV/0!</v>
      </c>
      <c r="AP291" s="32">
        <v>79</v>
      </c>
      <c r="AQ291" s="1" t="s">
        <v>77</v>
      </c>
      <c r="AR291"/>
      <c r="AS291" s="5">
        <v>38948.1037</v>
      </c>
      <c r="AT291" s="5">
        <v>-33419.90597</v>
      </c>
      <c r="AU291" s="5">
        <v>10406.4732</v>
      </c>
      <c r="AV291" s="5">
        <v>-1134.69201</v>
      </c>
      <c r="AW291" s="5"/>
      <c r="AX291" s="5"/>
      <c r="AY291" s="5"/>
      <c r="AZ291" s="5"/>
      <c r="BA291" s="5"/>
      <c r="BB291" s="5"/>
      <c r="BC291" s="5" t="s">
        <v>128</v>
      </c>
      <c r="BD291">
        <v>-178470.34151999999</v>
      </c>
      <c r="BE291">
        <v>65914.142000000007</v>
      </c>
      <c r="BF291" s="5"/>
      <c r="BG291" s="5"/>
      <c r="BH291" s="5"/>
      <c r="BO291">
        <v>34450.447070000002</v>
      </c>
      <c r="BP291">
        <v>-27529.37241</v>
      </c>
      <c r="BQ291">
        <v>8097.9948100000001</v>
      </c>
      <c r="BR291">
        <v>-841.19924000000003</v>
      </c>
      <c r="BY291" s="5" t="s">
        <v>128</v>
      </c>
      <c r="BZ291">
        <v>-51874.320800000001</v>
      </c>
      <c r="CA291">
        <v>17078.037359999998</v>
      </c>
      <c r="CK291">
        <v>36107.168579999998</v>
      </c>
      <c r="CL291">
        <v>-34816.248760000002</v>
      </c>
      <c r="CM291">
        <v>14792.971390000001</v>
      </c>
      <c r="CN291">
        <v>-3284.07962</v>
      </c>
      <c r="CO291">
        <v>371.34616</v>
      </c>
      <c r="CP291">
        <v>-16.892890000000001</v>
      </c>
      <c r="CV291">
        <v>7021.3197</v>
      </c>
      <c r="CW291">
        <v>-3051.7921900000001</v>
      </c>
      <c r="CX291">
        <v>567.42308000000003</v>
      </c>
      <c r="CY291">
        <v>-54.485120000000002</v>
      </c>
      <c r="CZ291">
        <v>2.6577999999999999</v>
      </c>
      <c r="DA291">
        <v>-5.2240000000000002E-2</v>
      </c>
      <c r="DF291" s="5" t="s">
        <v>128</v>
      </c>
      <c r="DG291">
        <v>-18317.36375</v>
      </c>
      <c r="DH291">
        <v>1544.51126</v>
      </c>
      <c r="DR291">
        <v>2764.45273</v>
      </c>
      <c r="DS291">
        <v>-483.55333999999999</v>
      </c>
      <c r="DT291">
        <v>30.27092</v>
      </c>
      <c r="DU291">
        <v>-0.65885000000000005</v>
      </c>
      <c r="EB291" s="5" t="s">
        <v>128</v>
      </c>
      <c r="EC291">
        <v>-7673.9885100000001</v>
      </c>
      <c r="ED291">
        <v>568.56795999999997</v>
      </c>
      <c r="EN291">
        <v>4948.6561899999997</v>
      </c>
      <c r="EO291">
        <v>-898.26580999999999</v>
      </c>
      <c r="EP291">
        <v>57.422469999999997</v>
      </c>
      <c r="EQ291">
        <v>-1.26119</v>
      </c>
      <c r="EX291" s="5" t="s">
        <v>128</v>
      </c>
      <c r="EY291">
        <v>-4461.49172</v>
      </c>
      <c r="EZ291">
        <v>322.08096</v>
      </c>
      <c r="FJ291">
        <v>1234.3453400000001</v>
      </c>
      <c r="FK291" s="31">
        <v>-26.421700000000001</v>
      </c>
      <c r="FL291" s="31">
        <v>-17.821739999999998</v>
      </c>
      <c r="FM291" s="31">
        <v>1.7726999999999999</v>
      </c>
      <c r="FN291">
        <v>-6.5320000000000003E-2</v>
      </c>
      <c r="FO291" s="31">
        <v>8.6543199999999996E-4</v>
      </c>
    </row>
    <row r="292" spans="2:171" ht="15.95" customHeight="1">
      <c r="B292" s="6">
        <f t="shared" si="88"/>
        <v>-121372.62000232004</v>
      </c>
      <c r="C292" s="6">
        <f t="shared" si="68"/>
        <v>307297.10854296002</v>
      </c>
      <c r="D292" s="6">
        <f t="shared" si="69"/>
        <v>50525.020050484251</v>
      </c>
      <c r="E292" s="6">
        <f t="shared" si="84"/>
        <v>92911.403368720014</v>
      </c>
      <c r="F292" s="6">
        <f t="shared" si="85"/>
        <v>-15259.994402572396</v>
      </c>
      <c r="G292" s="6">
        <f t="shared" si="62"/>
        <v>204.15004733415481</v>
      </c>
      <c r="H292" s="6">
        <f t="shared" si="63"/>
        <v>-5930.3100035200005</v>
      </c>
      <c r="I292" s="6">
        <f t="shared" si="83"/>
        <v>486.44373321022425</v>
      </c>
      <c r="J292" s="6">
        <f t="shared" si="70"/>
        <v>-3067.2918766399998</v>
      </c>
      <c r="K292" s="6">
        <f t="shared" si="90"/>
        <v>657.22872206689806</v>
      </c>
      <c r="L292" s="6">
        <f t="shared" si="86"/>
        <v>-1395.3255555999999</v>
      </c>
      <c r="M292" s="6">
        <f t="shared" si="87"/>
        <v>615.95014582740907</v>
      </c>
      <c r="N292" s="15">
        <v>80</v>
      </c>
      <c r="O292" s="2" t="s">
        <v>78</v>
      </c>
      <c r="P292" s="4">
        <v>200.59</v>
      </c>
      <c r="Q292" s="26">
        <f>M38</f>
        <v>0</v>
      </c>
      <c r="R292" s="6">
        <f>IF($B$15&lt;2.844347,B292,IF($B$15&lt;2.849853,C292,IF($B$15&lt;3.277746,D292,IF($B$15&lt;3.28332,E292,IF($B$15&lt;5.50612,F292,IF($B$15&lt;12.27162,G292,IF($B$15&lt;12.34532,H292,IF($B$15&lt;14.1945,I292,IF($B$15&lt;14.27974,J292,IF($B$15&lt;14.82446,K292,IF($B$15&lt;14.9135,L292,IF($B$15&lt;20.2,M292))))))))))))</f>
        <v>204.15004733415481</v>
      </c>
      <c r="S292" s="6">
        <f t="shared" si="49"/>
        <v>0</v>
      </c>
      <c r="T292" s="6" t="e">
        <f t="shared" si="50"/>
        <v>#DIV/0!</v>
      </c>
      <c r="U292" s="6" t="e">
        <f t="shared" si="89"/>
        <v>#DIV/0!</v>
      </c>
      <c r="V292" s="47" t="s">
        <v>190</v>
      </c>
      <c r="W292" s="3"/>
      <c r="X292">
        <v>0.60499999999999998</v>
      </c>
      <c r="Y292" s="3" t="e">
        <f t="shared" si="25"/>
        <v>#DIV/0!</v>
      </c>
      <c r="Z292" s="36" t="e">
        <f t="shared" si="72"/>
        <v>#DIV/0!</v>
      </c>
      <c r="AA292" s="3" t="e">
        <f t="shared" si="65"/>
        <v>#DIV/0!</v>
      </c>
      <c r="AB292" s="36" t="e">
        <f t="shared" si="73"/>
        <v>#DIV/0!</v>
      </c>
      <c r="AC292" s="3" t="e">
        <f t="shared" si="74"/>
        <v>#DIV/0!</v>
      </c>
      <c r="AD292" s="36" t="e">
        <f t="shared" si="75"/>
        <v>#DIV/0!</v>
      </c>
      <c r="AE292" s="36" t="e">
        <f t="shared" si="76"/>
        <v>#DIV/0!</v>
      </c>
      <c r="AF292" s="36" t="e">
        <f t="shared" si="66"/>
        <v>#DIV/0!</v>
      </c>
      <c r="AG292" s="3" t="e">
        <f t="shared" si="67"/>
        <v>#DIV/0!</v>
      </c>
      <c r="AH292" s="36" t="e">
        <f t="shared" si="77"/>
        <v>#DIV/0!</v>
      </c>
      <c r="AI292" s="36" t="e">
        <f t="shared" si="78"/>
        <v>#DIV/0!</v>
      </c>
      <c r="AJ292" s="3" t="e">
        <f t="shared" si="79"/>
        <v>#DIV/0!</v>
      </c>
      <c r="AK292" s="36" t="e">
        <f t="shared" si="80"/>
        <v>#DIV/0!</v>
      </c>
      <c r="AL292" s="36" t="e">
        <f t="shared" si="81"/>
        <v>#DIV/0!</v>
      </c>
      <c r="AM292" s="36" t="e">
        <f t="shared" si="82"/>
        <v>#DIV/0!</v>
      </c>
      <c r="AP292" s="32">
        <v>80</v>
      </c>
      <c r="AQ292" s="1" t="s">
        <v>78</v>
      </c>
      <c r="AR292"/>
      <c r="AS292" s="5">
        <v>37851.666969999998</v>
      </c>
      <c r="AT292" s="5">
        <v>-31422.984039999999</v>
      </c>
      <c r="AU292" s="5">
        <v>9451.5927499999998</v>
      </c>
      <c r="AV292" s="5">
        <v>-994.71146999999996</v>
      </c>
      <c r="AW292" s="5"/>
      <c r="AX292" s="5"/>
      <c r="AY292" s="5"/>
      <c r="AZ292" s="5"/>
      <c r="BA292" s="5"/>
      <c r="BB292" s="5"/>
      <c r="BC292" s="5" t="s">
        <v>128</v>
      </c>
      <c r="BD292">
        <v>-164799.21747</v>
      </c>
      <c r="BE292">
        <v>58660.080269999999</v>
      </c>
      <c r="BF292" s="5"/>
      <c r="BG292" s="5"/>
      <c r="BH292" s="5"/>
      <c r="BO292">
        <v>4443.1451399999996</v>
      </c>
      <c r="BP292">
        <v>3025.1150200000002</v>
      </c>
      <c r="BQ292">
        <v>-2222.19085</v>
      </c>
      <c r="BR292">
        <v>317.81472000000002</v>
      </c>
      <c r="BY292" s="5" t="s">
        <v>128</v>
      </c>
      <c r="BZ292">
        <v>-61013.671950000004</v>
      </c>
      <c r="CA292">
        <v>19125.879140000001</v>
      </c>
      <c r="CK292">
        <v>52083.601840000003</v>
      </c>
      <c r="CL292">
        <v>-53286.313770000001</v>
      </c>
      <c r="CM292">
        <v>23264.4961</v>
      </c>
      <c r="CN292">
        <v>-5208.1273199999996</v>
      </c>
      <c r="CO292">
        <v>587.84141</v>
      </c>
      <c r="CP292">
        <v>-26.555879999999998</v>
      </c>
      <c r="CV292">
        <v>7313.2403000000004</v>
      </c>
      <c r="CW292">
        <v>-3191.9809300000002</v>
      </c>
      <c r="CX292">
        <v>596.07748000000004</v>
      </c>
      <c r="CY292">
        <v>-57.476709999999997</v>
      </c>
      <c r="CZ292">
        <v>2.8141699999999998</v>
      </c>
      <c r="DA292">
        <v>-5.5480000000000002E-2</v>
      </c>
      <c r="DF292" s="5" t="s">
        <v>128</v>
      </c>
      <c r="DG292">
        <v>-17363.274740000001</v>
      </c>
      <c r="DH292">
        <v>1420.59701</v>
      </c>
      <c r="DR292">
        <v>2503.1678400000001</v>
      </c>
      <c r="DS292">
        <v>-418.68713000000002</v>
      </c>
      <c r="DT292">
        <v>25.104990000000001</v>
      </c>
      <c r="DU292">
        <v>-0.52407999999999999</v>
      </c>
      <c r="EB292" s="5" t="s">
        <v>128</v>
      </c>
      <c r="EC292">
        <v>-7239.9792399999997</v>
      </c>
      <c r="ED292">
        <v>518.47506999999996</v>
      </c>
      <c r="EN292">
        <v>3153.0246900000002</v>
      </c>
      <c r="EO292">
        <v>-507.80439000000001</v>
      </c>
      <c r="EP292">
        <v>29.294070000000001</v>
      </c>
      <c r="EQ292">
        <v>-0.58774000000000004</v>
      </c>
      <c r="EX292" s="5" t="s">
        <v>128</v>
      </c>
      <c r="EY292">
        <v>-3228.3605699999998</v>
      </c>
      <c r="EZ292">
        <v>227.7628</v>
      </c>
      <c r="FJ292">
        <v>2948.4555300000002</v>
      </c>
      <c r="FK292">
        <v>-537.67942000000005</v>
      </c>
      <c r="FL292">
        <v>43.287199999999999</v>
      </c>
      <c r="FM292">
        <v>-1.8696299999999999</v>
      </c>
      <c r="FN292">
        <v>4.2790000000000002E-2</v>
      </c>
      <c r="FO292">
        <v>-4.1211299999999998E-4</v>
      </c>
    </row>
    <row r="293" spans="2:171" ht="15.95" customHeight="1">
      <c r="B293" s="6">
        <f t="shared" si="88"/>
        <v>-94896.481323228334</v>
      </c>
      <c r="C293" s="6">
        <f t="shared" si="68"/>
        <v>280642.42467216001</v>
      </c>
      <c r="D293" s="6">
        <f t="shared" si="69"/>
        <v>-79843.006909771473</v>
      </c>
      <c r="E293" s="6">
        <f t="shared" si="84"/>
        <v>49182.833097680006</v>
      </c>
      <c r="F293" s="6">
        <f t="shared" si="85"/>
        <v>-27994.337956487201</v>
      </c>
      <c r="G293" s="6">
        <f t="shared" si="62"/>
        <v>210.78924013825122</v>
      </c>
      <c r="H293" s="6">
        <f t="shared" si="63"/>
        <v>-5922.4839191200008</v>
      </c>
      <c r="I293" s="6">
        <f t="shared" si="83"/>
        <v>464.13881627076648</v>
      </c>
      <c r="J293" s="6">
        <f t="shared" si="70"/>
        <v>-3026.2707935200001</v>
      </c>
      <c r="K293" s="6">
        <f t="shared" si="90"/>
        <v>608.85752827936255</v>
      </c>
      <c r="L293" s="6">
        <f t="shared" si="86"/>
        <v>-1919.6200062399998</v>
      </c>
      <c r="M293" s="6">
        <f t="shared" si="87"/>
        <v>1169.4531640757666</v>
      </c>
      <c r="N293" s="15">
        <v>81</v>
      </c>
      <c r="O293" s="2" t="s">
        <v>102</v>
      </c>
      <c r="P293" s="4">
        <v>204.38300000000001</v>
      </c>
      <c r="Q293" s="26">
        <f>N38</f>
        <v>0</v>
      </c>
      <c r="R293" s="6">
        <f>IF($B$15&lt;2.95364,B293,IF($B$15&lt;2.959557,C293,IF($B$15&lt;3.411173,D293,IF($B$15&lt;3.420687,E293,IF($B$15&lt;5.50612,F293,IF($B$15&lt;12.64484,G293,IF($B$15&lt;12.7208,H293,IF($B$15&lt;14.6832,I293,IF($B$15&lt;14.77139,J293,IF($B$15&lt;15.33135,K293,IF($B$15&lt;15.40095,L293,IF($B$15&lt;20.2,M293))))))))))))</f>
        <v>210.78924013825122</v>
      </c>
      <c r="S293" s="6">
        <f t="shared" si="49"/>
        <v>0</v>
      </c>
      <c r="T293" s="6" t="e">
        <f t="shared" si="50"/>
        <v>#DIV/0!</v>
      </c>
      <c r="U293" s="6" t="e">
        <f t="shared" si="89"/>
        <v>#DIV/0!</v>
      </c>
      <c r="V293" s="47" t="s">
        <v>191</v>
      </c>
      <c r="W293" s="3"/>
      <c r="X293">
        <v>0.6</v>
      </c>
      <c r="Y293" s="3" t="e">
        <f t="shared" ref="Y293:Y356" si="91">((-LN(X293))/$M$22)*10000</f>
        <v>#DIV/0!</v>
      </c>
      <c r="Z293" s="36" t="e">
        <f t="shared" si="72"/>
        <v>#DIV/0!</v>
      </c>
      <c r="AA293" s="3" t="e">
        <f t="shared" si="65"/>
        <v>#DIV/0!</v>
      </c>
      <c r="AB293" s="36" t="e">
        <f t="shared" si="73"/>
        <v>#DIV/0!</v>
      </c>
      <c r="AC293" s="3" t="e">
        <f t="shared" si="74"/>
        <v>#DIV/0!</v>
      </c>
      <c r="AD293" s="36" t="e">
        <f t="shared" si="75"/>
        <v>#DIV/0!</v>
      </c>
      <c r="AE293" s="36" t="e">
        <f t="shared" si="76"/>
        <v>#DIV/0!</v>
      </c>
      <c r="AF293" s="36" t="e">
        <f t="shared" si="66"/>
        <v>#DIV/0!</v>
      </c>
      <c r="AG293" s="3" t="e">
        <f t="shared" si="67"/>
        <v>#DIV/0!</v>
      </c>
      <c r="AH293" s="36" t="e">
        <f t="shared" si="77"/>
        <v>#DIV/0!</v>
      </c>
      <c r="AI293" s="36" t="e">
        <f t="shared" si="78"/>
        <v>#DIV/0!</v>
      </c>
      <c r="AJ293" s="3" t="e">
        <f t="shared" si="79"/>
        <v>#DIV/0!</v>
      </c>
      <c r="AK293" s="36" t="e">
        <f t="shared" si="80"/>
        <v>#DIV/0!</v>
      </c>
      <c r="AL293" s="36" t="e">
        <f t="shared" si="81"/>
        <v>#DIV/0!</v>
      </c>
      <c r="AM293" s="36" t="e">
        <f t="shared" si="82"/>
        <v>#DIV/0!</v>
      </c>
      <c r="AP293" s="32">
        <v>81</v>
      </c>
      <c r="AQ293" s="48" t="s">
        <v>102</v>
      </c>
      <c r="AS293" s="5">
        <v>36135.575239999998</v>
      </c>
      <c r="AT293" s="5">
        <v>-28843.526129999998</v>
      </c>
      <c r="AU293" s="5">
        <v>8329.8955299999998</v>
      </c>
      <c r="AV293" s="5">
        <v>-841.07668000000001</v>
      </c>
      <c r="AW293" s="5"/>
      <c r="AX293" s="5"/>
      <c r="AY293" s="5"/>
      <c r="AZ293" s="5"/>
      <c r="BA293" s="5"/>
      <c r="BB293" s="5"/>
      <c r="BC293" s="5" t="s">
        <v>128</v>
      </c>
      <c r="BD293">
        <v>-159648.45000000001</v>
      </c>
      <c r="BE293">
        <v>54708.110670000002</v>
      </c>
      <c r="BO293">
        <v>44001.970970000002</v>
      </c>
      <c r="BP293">
        <v>-33557.76384</v>
      </c>
      <c r="BQ293">
        <v>9083.8910899999992</v>
      </c>
      <c r="BR293">
        <v>-848.19246999999996</v>
      </c>
      <c r="BY293" s="5" t="s">
        <v>128</v>
      </c>
      <c r="BZ293">
        <v>-33466.174610000002</v>
      </c>
      <c r="CA293">
        <v>10269.50891</v>
      </c>
      <c r="CK293">
        <v>100029.72552000001</v>
      </c>
      <c r="CL293">
        <v>-107524.20147</v>
      </c>
      <c r="CM293">
        <v>47646.561730000001</v>
      </c>
      <c r="CN293">
        <v>-10650.48647</v>
      </c>
      <c r="CO293">
        <v>1191.17193</v>
      </c>
      <c r="CP293">
        <v>-53.139760000000003</v>
      </c>
      <c r="CV293">
        <v>7411.6705099999999</v>
      </c>
      <c r="CW293">
        <v>-3209.9357500000001</v>
      </c>
      <c r="CX293">
        <v>594.45212000000004</v>
      </c>
      <c r="CY293">
        <v>-56.79448</v>
      </c>
      <c r="CZ293">
        <v>2.7522500000000001</v>
      </c>
      <c r="DA293">
        <v>-5.364E-2</v>
      </c>
      <c r="DF293" s="5" t="s">
        <v>128</v>
      </c>
      <c r="DG293">
        <v>-16408.302070000002</v>
      </c>
      <c r="DH293">
        <v>1302.9098100000001</v>
      </c>
      <c r="DR293">
        <v>2064.9107600000002</v>
      </c>
      <c r="DS293">
        <v>-319.68768</v>
      </c>
      <c r="DT293">
        <v>17.78668</v>
      </c>
      <c r="DU293">
        <v>-0.34526000000000001</v>
      </c>
      <c r="EB293" s="5" t="s">
        <v>128</v>
      </c>
      <c r="EC293">
        <v>-6833.5342099999998</v>
      </c>
      <c r="ED293">
        <v>473.06950999999998</v>
      </c>
      <c r="EN293">
        <v>2475.67373</v>
      </c>
      <c r="EO293">
        <v>-363.48223000000002</v>
      </c>
      <c r="EP293">
        <v>19.183700000000002</v>
      </c>
      <c r="EQ293">
        <v>-0.35306999999999999</v>
      </c>
      <c r="EX293" s="5" t="s">
        <v>128</v>
      </c>
      <c r="EY293">
        <v>-4195.2613799999999</v>
      </c>
      <c r="EZ293">
        <v>282.75862000000001</v>
      </c>
      <c r="FJ293">
        <v>15719.0164</v>
      </c>
      <c r="FK293">
        <v>-4227.2104300000001</v>
      </c>
      <c r="FL293" s="31">
        <v>468.76069000000001</v>
      </c>
      <c r="FM293" s="31">
        <v>-26.336369999999999</v>
      </c>
      <c r="FN293">
        <v>0.74424999999999997</v>
      </c>
      <c r="FO293">
        <v>-8.43E-3</v>
      </c>
    </row>
    <row r="294" spans="2:171" ht="15.95" customHeight="1">
      <c r="B294" s="6">
        <f t="shared" si="88"/>
        <v>-111373.07531726226</v>
      </c>
      <c r="C294" s="6">
        <f t="shared" si="68"/>
        <v>245682.64560768</v>
      </c>
      <c r="D294" s="6">
        <f t="shared" si="69"/>
        <v>-57259.991044400958</v>
      </c>
      <c r="E294" s="6">
        <f t="shared" si="84"/>
        <v>45734.740851279996</v>
      </c>
      <c r="F294" s="6">
        <f t="shared" si="85"/>
        <v>-33751.76911416743</v>
      </c>
      <c r="G294" s="6">
        <f t="shared" si="62"/>
        <v>218.65577410609058</v>
      </c>
      <c r="H294" s="6">
        <f t="shared" si="63"/>
        <v>-5925.6713342399999</v>
      </c>
      <c r="I294" s="6">
        <f t="shared" si="83"/>
        <v>454.12565180007437</v>
      </c>
      <c r="J294" s="6">
        <f t="shared" si="70"/>
        <v>-2996.8689558399997</v>
      </c>
      <c r="K294" s="6">
        <f t="shared" si="90"/>
        <v>700.00369071020009</v>
      </c>
      <c r="L294" s="6">
        <f t="shared" si="86"/>
        <v>-1351.10383912</v>
      </c>
      <c r="M294" s="6">
        <f t="shared" si="87"/>
        <v>535.57455785446916</v>
      </c>
      <c r="N294" s="2">
        <v>82</v>
      </c>
      <c r="O294" s="2" t="s">
        <v>40</v>
      </c>
      <c r="P294" s="4">
        <v>207.2</v>
      </c>
      <c r="Q294" s="26">
        <f>O38</f>
        <v>0</v>
      </c>
      <c r="R294" s="6">
        <f>IF($B$15&lt;3.06324,B294,IF($B$15&lt;3.06956,C294,IF($B$15&lt;3.55,D294,IF($B$15&lt;3.55939,E294,IF($B$15&lt;5.589126,F294,IF($B$15&lt;13.02216,G294,IF($B$15&lt;13.1004,H294,IF($B$15&lt;15.1848,I294,IF($B$15&lt;15.276,J294,IF($B$15&lt;15.84494,K294,IF($B$15&lt;15.94,L294,IF($B$15&lt;20.2,M294))))))))))))</f>
        <v>218.65577410609058</v>
      </c>
      <c r="S294" s="6">
        <f t="shared" si="49"/>
        <v>0</v>
      </c>
      <c r="T294" s="6" t="e">
        <f t="shared" si="50"/>
        <v>#DIV/0!</v>
      </c>
      <c r="U294" s="6" t="e">
        <f t="shared" si="89"/>
        <v>#DIV/0!</v>
      </c>
      <c r="V294" s="47" t="s">
        <v>192</v>
      </c>
      <c r="W294" s="3"/>
      <c r="X294">
        <v>0.59499999999999997</v>
      </c>
      <c r="Y294" s="3" t="e">
        <f t="shared" si="91"/>
        <v>#DIV/0!</v>
      </c>
      <c r="Z294" s="36" t="e">
        <f t="shared" si="72"/>
        <v>#DIV/0!</v>
      </c>
      <c r="AA294" s="3" t="e">
        <f t="shared" si="65"/>
        <v>#DIV/0!</v>
      </c>
      <c r="AB294" s="36" t="e">
        <f t="shared" si="73"/>
        <v>#DIV/0!</v>
      </c>
      <c r="AC294" s="3" t="e">
        <f t="shared" si="74"/>
        <v>#DIV/0!</v>
      </c>
      <c r="AD294" s="36" t="e">
        <f t="shared" si="75"/>
        <v>#DIV/0!</v>
      </c>
      <c r="AE294" s="36" t="e">
        <f t="shared" si="76"/>
        <v>#DIV/0!</v>
      </c>
      <c r="AF294" s="36" t="e">
        <f t="shared" si="66"/>
        <v>#DIV/0!</v>
      </c>
      <c r="AG294" s="3" t="e">
        <f t="shared" si="67"/>
        <v>#DIV/0!</v>
      </c>
      <c r="AH294" s="36" t="e">
        <f t="shared" si="77"/>
        <v>#DIV/0!</v>
      </c>
      <c r="AI294" s="36" t="e">
        <f t="shared" si="78"/>
        <v>#DIV/0!</v>
      </c>
      <c r="AJ294" s="3" t="e">
        <f t="shared" si="79"/>
        <v>#DIV/0!</v>
      </c>
      <c r="AK294" s="36" t="e">
        <f t="shared" si="80"/>
        <v>#DIV/0!</v>
      </c>
      <c r="AL294" s="36" t="e">
        <f t="shared" si="81"/>
        <v>#DIV/0!</v>
      </c>
      <c r="AM294" s="36" t="e">
        <f t="shared" si="82"/>
        <v>#DIV/0!</v>
      </c>
      <c r="AP294" s="32">
        <v>82</v>
      </c>
      <c r="AQ294" s="1" t="s">
        <v>40</v>
      </c>
      <c r="AS294" s="5">
        <v>39709.600850000003</v>
      </c>
      <c r="AT294" s="5">
        <v>-32184.69974</v>
      </c>
      <c r="AU294" s="5">
        <v>9423.3028799999993</v>
      </c>
      <c r="AV294" s="5">
        <v>-963.81731000000002</v>
      </c>
      <c r="AW294" s="5"/>
      <c r="AX294" s="5"/>
      <c r="AY294" s="5"/>
      <c r="AZ294" s="5"/>
      <c r="BA294" s="5"/>
      <c r="BB294" s="5"/>
      <c r="BC294" s="5" t="s">
        <v>128</v>
      </c>
      <c r="BD294">
        <v>-148008.99716</v>
      </c>
      <c r="BE294">
        <v>48917.947659999998</v>
      </c>
      <c r="BO294">
        <v>41094.407350000001</v>
      </c>
      <c r="BP294">
        <v>-29880.00547</v>
      </c>
      <c r="BQ294">
        <v>7701.2140300000001</v>
      </c>
      <c r="BR294">
        <v>-684.26943000000006</v>
      </c>
      <c r="BY294" s="5" t="s">
        <v>128</v>
      </c>
      <c r="BZ294">
        <v>-33480.905149999999</v>
      </c>
      <c r="CA294">
        <v>9842.8983599999992</v>
      </c>
      <c r="CK294">
        <v>154698.21588</v>
      </c>
      <c r="CL294">
        <v>-166175.40966</v>
      </c>
      <c r="CM294">
        <v>72579.382610000001</v>
      </c>
      <c r="CN294">
        <v>-15896.73273</v>
      </c>
      <c r="CO294">
        <v>1737.5389600000001</v>
      </c>
      <c r="CP294">
        <v>-75.670519999999996</v>
      </c>
      <c r="CV294">
        <v>7554.6945900000001</v>
      </c>
      <c r="CW294">
        <v>-3244.4750399999998</v>
      </c>
      <c r="CX294">
        <v>594.93520999999998</v>
      </c>
      <c r="CY294">
        <v>-56.191870000000002</v>
      </c>
      <c r="CZ294">
        <v>2.6877</v>
      </c>
      <c r="DA294">
        <v>-5.1619999999999999E-2</v>
      </c>
      <c r="DF294" s="5" t="s">
        <v>128</v>
      </c>
      <c r="DG294">
        <v>-15617.2248</v>
      </c>
      <c r="DH294">
        <v>1204.2188699999999</v>
      </c>
      <c r="DR294">
        <v>1840.9964199999999</v>
      </c>
      <c r="DS294">
        <v>-269.81817999999998</v>
      </c>
      <c r="DT294">
        <v>14.218769999999999</v>
      </c>
      <c r="DU294">
        <v>-0.26152999999999998</v>
      </c>
      <c r="EB294" s="5" t="s">
        <v>128</v>
      </c>
      <c r="EC294">
        <v>-6496.69</v>
      </c>
      <c r="ED294">
        <v>434.86842000000001</v>
      </c>
      <c r="EN294">
        <v>3207.0406200000002</v>
      </c>
      <c r="EO294">
        <v>-502.18855000000002</v>
      </c>
      <c r="EP294">
        <v>28.073039999999999</v>
      </c>
      <c r="EQ294">
        <v>-0.54429000000000005</v>
      </c>
      <c r="EX294" s="5" t="s">
        <v>128</v>
      </c>
      <c r="EY294">
        <v>-2882.7272499999999</v>
      </c>
      <c r="EZ294">
        <v>190.31106</v>
      </c>
      <c r="FJ294" s="31">
        <v>1572.4139299999999</v>
      </c>
      <c r="FK294" s="31">
        <v>-184.06632999999999</v>
      </c>
      <c r="FL294" s="31">
        <v>7.7917800000000002</v>
      </c>
      <c r="FM294">
        <v>-0.11539000000000001</v>
      </c>
    </row>
    <row r="295" spans="2:171" ht="15.95" customHeight="1">
      <c r="B295" s="6">
        <f t="shared" si="88"/>
        <v>-100768.52359117137</v>
      </c>
      <c r="C295" s="6">
        <f t="shared" si="68"/>
        <v>212828.80828304001</v>
      </c>
      <c r="D295" s="6">
        <f t="shared" si="69"/>
        <v>-42947.386171983846</v>
      </c>
      <c r="E295" s="6">
        <f t="shared" si="84"/>
        <v>56819.302987679999</v>
      </c>
      <c r="F295" s="6">
        <f t="shared" si="85"/>
        <v>-32958.250424189027</v>
      </c>
      <c r="G295" s="6">
        <f t="shared" si="62"/>
        <v>227.38377156847832</v>
      </c>
      <c r="H295" s="6">
        <f t="shared" si="63"/>
        <v>-6697.4072756800015</v>
      </c>
      <c r="I295" s="6">
        <f t="shared" si="83"/>
        <v>466.32018322172939</v>
      </c>
      <c r="J295" s="6">
        <f t="shared" si="70"/>
        <v>-2968.1341589600001</v>
      </c>
      <c r="K295" s="6">
        <f t="shared" si="90"/>
        <v>-108.07242281328115</v>
      </c>
      <c r="L295" s="6">
        <f t="shared" si="86"/>
        <v>-1437.93551536</v>
      </c>
      <c r="M295" s="6">
        <f t="shared" si="87"/>
        <v>522.73735493784056</v>
      </c>
      <c r="N295" s="2">
        <v>83</v>
      </c>
      <c r="O295" s="2" t="s">
        <v>79</v>
      </c>
      <c r="P295" s="4">
        <v>208.9804</v>
      </c>
      <c r="Q295" s="26">
        <f>P38</f>
        <v>0</v>
      </c>
      <c r="R295" s="6">
        <f>IF($B$15&lt;3.1735,B295,IF($B$15&lt;3.1803,C295,IF($B$15&lt;3.69454,D295,IF($B$15&lt;3.7017,E295,IF($B$15&lt;5.67338,F295,IF($B$15&lt;13.4052,G295,IF($B$15&lt;13.477,H295,IF($B$15&lt;15.6954,I295,IF($B$15&lt;15.78966,J295,IF($B$15&lt;16.3711,K295,IF($B$15&lt;16.4636,L295,IF($B$15&lt;20.2,M295))))))))))))</f>
        <v>227.38377156847832</v>
      </c>
      <c r="S295" s="6">
        <f t="shared" si="49"/>
        <v>0</v>
      </c>
      <c r="T295" s="6" t="e">
        <f t="shared" si="50"/>
        <v>#DIV/0!</v>
      </c>
      <c r="U295" s="6" t="e">
        <f t="shared" si="89"/>
        <v>#DIV/0!</v>
      </c>
      <c r="V295" s="47" t="s">
        <v>193</v>
      </c>
      <c r="W295" s="3"/>
      <c r="X295">
        <v>0.59</v>
      </c>
      <c r="Y295" s="3" t="e">
        <f t="shared" si="91"/>
        <v>#DIV/0!</v>
      </c>
      <c r="Z295" s="36" t="e">
        <f t="shared" si="72"/>
        <v>#DIV/0!</v>
      </c>
      <c r="AA295" s="3" t="e">
        <f t="shared" si="65"/>
        <v>#DIV/0!</v>
      </c>
      <c r="AB295" s="36" t="e">
        <f t="shared" si="73"/>
        <v>#DIV/0!</v>
      </c>
      <c r="AC295" s="3" t="e">
        <f t="shared" si="74"/>
        <v>#DIV/0!</v>
      </c>
      <c r="AD295" s="36" t="e">
        <f t="shared" si="75"/>
        <v>#DIV/0!</v>
      </c>
      <c r="AE295" s="36" t="e">
        <f t="shared" si="76"/>
        <v>#DIV/0!</v>
      </c>
      <c r="AF295" s="36" t="e">
        <f t="shared" si="66"/>
        <v>#DIV/0!</v>
      </c>
      <c r="AG295" s="3" t="e">
        <f t="shared" si="67"/>
        <v>#DIV/0!</v>
      </c>
      <c r="AH295" s="36" t="e">
        <f t="shared" si="77"/>
        <v>#DIV/0!</v>
      </c>
      <c r="AI295" s="36" t="e">
        <f t="shared" si="78"/>
        <v>#DIV/0!</v>
      </c>
      <c r="AJ295" s="3" t="e">
        <f t="shared" si="79"/>
        <v>#DIV/0!</v>
      </c>
      <c r="AK295" s="36" t="e">
        <f t="shared" si="80"/>
        <v>#DIV/0!</v>
      </c>
      <c r="AL295" s="36" t="e">
        <f t="shared" si="81"/>
        <v>#DIV/0!</v>
      </c>
      <c r="AM295" s="36" t="e">
        <f t="shared" si="82"/>
        <v>#DIV/0!</v>
      </c>
      <c r="AP295" s="32">
        <v>83</v>
      </c>
      <c r="AQ295" s="1" t="s">
        <v>79</v>
      </c>
      <c r="AS295" s="5">
        <v>39056.46241</v>
      </c>
      <c r="AT295" s="5">
        <v>-31006.45822</v>
      </c>
      <c r="AU295" s="5">
        <v>8912.08655</v>
      </c>
      <c r="AV295" s="5">
        <v>-896.89086999999995</v>
      </c>
      <c r="AW295" s="5"/>
      <c r="AX295" s="5"/>
      <c r="AY295" s="5"/>
      <c r="AZ295" s="5"/>
      <c r="BA295" s="5"/>
      <c r="BB295" s="5"/>
      <c r="BC295" s="5" t="s">
        <v>128</v>
      </c>
      <c r="BD295">
        <v>-135674.00114000001</v>
      </c>
      <c r="BE295">
        <v>43303.032980000004</v>
      </c>
      <c r="BO295">
        <v>38187.484270000001</v>
      </c>
      <c r="BP295">
        <v>-26673.356159999999</v>
      </c>
      <c r="BQ295">
        <v>6611.3327200000003</v>
      </c>
      <c r="BR295">
        <v>-565.32110999999998</v>
      </c>
      <c r="BY295" s="5" t="s">
        <v>128</v>
      </c>
      <c r="BZ295">
        <v>-45676.475120000003</v>
      </c>
      <c r="CA295">
        <v>12735.55891</v>
      </c>
      <c r="CK295">
        <v>197180.25107999999</v>
      </c>
      <c r="CL295">
        <v>-208489.17576000001</v>
      </c>
      <c r="CM295">
        <v>89198.122050000005</v>
      </c>
      <c r="CN295">
        <v>-19104.211619999998</v>
      </c>
      <c r="CO295">
        <v>2040.84546</v>
      </c>
      <c r="CP295">
        <v>-86.866540000000001</v>
      </c>
      <c r="CV295">
        <v>7549.79036</v>
      </c>
      <c r="CW295">
        <v>-3188.5164500000001</v>
      </c>
      <c r="CX295">
        <v>574.55592000000001</v>
      </c>
      <c r="CY295">
        <v>-53.281959999999998</v>
      </c>
      <c r="CZ295">
        <v>2.4998900000000002</v>
      </c>
      <c r="DA295">
        <v>-4.7050000000000002E-2</v>
      </c>
      <c r="DF295" s="5" t="s">
        <v>128</v>
      </c>
      <c r="DG295">
        <v>-16852.303980000001</v>
      </c>
      <c r="DH295">
        <v>1261.79134</v>
      </c>
      <c r="DR295">
        <v>1853.1584600000001</v>
      </c>
      <c r="DS295">
        <v>-268.19835999999998</v>
      </c>
      <c r="DT295">
        <v>13.95064</v>
      </c>
      <c r="DU295">
        <v>-0.25316</v>
      </c>
      <c r="EB295" s="5" t="s">
        <v>128</v>
      </c>
      <c r="EC295">
        <v>-6198.6032100000002</v>
      </c>
      <c r="ED295">
        <v>401.40023000000002</v>
      </c>
      <c r="EN295">
        <v>-3464.8426300000001</v>
      </c>
      <c r="EO295">
        <v>752.50012000000004</v>
      </c>
      <c r="EP295">
        <v>-50.485570000000003</v>
      </c>
      <c r="EQ295">
        <v>1.09466</v>
      </c>
      <c r="EX295" s="5" t="s">
        <v>128</v>
      </c>
      <c r="EY295">
        <v>-2950.7959799999999</v>
      </c>
      <c r="EZ295">
        <v>187.97968</v>
      </c>
      <c r="FJ295">
        <v>1455.9022500000001</v>
      </c>
      <c r="FK295" s="31">
        <v>-163.03110000000001</v>
      </c>
      <c r="FL295" s="31">
        <v>6.60318</v>
      </c>
      <c r="FM295">
        <v>-9.3579999999999997E-2</v>
      </c>
    </row>
    <row r="296" spans="2:171" ht="15.95" customHeight="1">
      <c r="E296"/>
      <c r="G296"/>
      <c r="N296" s="22" t="s">
        <v>18</v>
      </c>
      <c r="O296" s="23"/>
      <c r="P296" s="21"/>
      <c r="Q296" s="16">
        <f>SUM(Q213:Q295)</f>
        <v>0</v>
      </c>
      <c r="R296" s="17"/>
      <c r="S296" s="18">
        <f>SUM(S213:S295)</f>
        <v>0</v>
      </c>
      <c r="T296" s="19" t="e">
        <f>SUM(T213:T295)</f>
        <v>#DIV/0!</v>
      </c>
      <c r="U296" s="20" t="e">
        <f>SUM(U213:U295)</f>
        <v>#DIV/0!</v>
      </c>
      <c r="W296" s="3"/>
      <c r="X296">
        <v>0.58499999999999996</v>
      </c>
      <c r="Y296" s="3" t="e">
        <f t="shared" si="91"/>
        <v>#DIV/0!</v>
      </c>
      <c r="Z296" s="36" t="e">
        <f t="shared" si="72"/>
        <v>#DIV/0!</v>
      </c>
      <c r="AA296" s="3" t="e">
        <f t="shared" si="65"/>
        <v>#DIV/0!</v>
      </c>
      <c r="AB296" s="36" t="e">
        <f t="shared" si="73"/>
        <v>#DIV/0!</v>
      </c>
      <c r="AC296" s="3" t="e">
        <f t="shared" si="74"/>
        <v>#DIV/0!</v>
      </c>
      <c r="AD296" s="36" t="e">
        <f t="shared" si="75"/>
        <v>#DIV/0!</v>
      </c>
      <c r="AE296" s="36" t="e">
        <f t="shared" si="76"/>
        <v>#DIV/0!</v>
      </c>
      <c r="AF296" s="36" t="e">
        <f t="shared" si="66"/>
        <v>#DIV/0!</v>
      </c>
      <c r="AG296" s="3" t="e">
        <f t="shared" si="67"/>
        <v>#DIV/0!</v>
      </c>
      <c r="AH296" s="36" t="e">
        <f t="shared" si="77"/>
        <v>#DIV/0!</v>
      </c>
      <c r="AI296" s="36" t="e">
        <f t="shared" si="78"/>
        <v>#DIV/0!</v>
      </c>
      <c r="AJ296" s="3" t="e">
        <f t="shared" si="79"/>
        <v>#DIV/0!</v>
      </c>
      <c r="AK296" s="36" t="e">
        <f t="shared" si="80"/>
        <v>#DIV/0!</v>
      </c>
      <c r="AL296" s="36" t="e">
        <f t="shared" si="81"/>
        <v>#DIV/0!</v>
      </c>
      <c r="AM296" s="36" t="e">
        <f t="shared" si="82"/>
        <v>#DIV/0!</v>
      </c>
      <c r="AV296" s="5"/>
      <c r="AW296" s="5"/>
      <c r="AX296" s="5"/>
      <c r="AY296" s="5"/>
      <c r="AZ296" s="5"/>
      <c r="BA296" s="5"/>
      <c r="BB296" s="5"/>
      <c r="FJ296" s="31"/>
    </row>
    <row r="297" spans="2:171" ht="15.95" customHeight="1">
      <c r="E297"/>
      <c r="G297"/>
      <c r="W297" s="3"/>
      <c r="X297">
        <v>0.57999999999999996</v>
      </c>
      <c r="Y297" s="3" t="e">
        <f t="shared" si="91"/>
        <v>#DIV/0!</v>
      </c>
      <c r="Z297" s="36" t="e">
        <f t="shared" si="72"/>
        <v>#DIV/0!</v>
      </c>
      <c r="AA297" s="3" t="e">
        <f t="shared" si="65"/>
        <v>#DIV/0!</v>
      </c>
      <c r="AB297" s="36" t="e">
        <f t="shared" si="73"/>
        <v>#DIV/0!</v>
      </c>
      <c r="AC297" s="3" t="e">
        <f t="shared" si="74"/>
        <v>#DIV/0!</v>
      </c>
      <c r="AD297" s="36" t="e">
        <f t="shared" si="75"/>
        <v>#DIV/0!</v>
      </c>
      <c r="AE297" s="36" t="e">
        <f t="shared" si="76"/>
        <v>#DIV/0!</v>
      </c>
      <c r="AF297" s="36" t="e">
        <f t="shared" si="66"/>
        <v>#DIV/0!</v>
      </c>
      <c r="AG297" s="3" t="e">
        <f t="shared" si="67"/>
        <v>#DIV/0!</v>
      </c>
      <c r="AH297" s="36" t="e">
        <f t="shared" si="77"/>
        <v>#DIV/0!</v>
      </c>
      <c r="AI297" s="36" t="e">
        <f t="shared" si="78"/>
        <v>#DIV/0!</v>
      </c>
      <c r="AJ297" s="3" t="e">
        <f t="shared" si="79"/>
        <v>#DIV/0!</v>
      </c>
      <c r="AK297" s="36" t="e">
        <f t="shared" si="80"/>
        <v>#DIV/0!</v>
      </c>
      <c r="AL297" s="36" t="e">
        <f t="shared" si="81"/>
        <v>#DIV/0!</v>
      </c>
      <c r="AM297" s="36" t="e">
        <f t="shared" si="82"/>
        <v>#DIV/0!</v>
      </c>
      <c r="AV297" s="5"/>
      <c r="AW297" s="5"/>
      <c r="AX297" s="5"/>
      <c r="AY297" s="5"/>
      <c r="AZ297" s="5"/>
      <c r="BA297" s="5"/>
      <c r="BB297" s="5"/>
      <c r="FJ297" s="31"/>
    </row>
    <row r="298" spans="2:171" ht="15.95" customHeight="1">
      <c r="E298"/>
      <c r="G298"/>
      <c r="W298" s="3"/>
      <c r="X298">
        <v>0.57499999999999996</v>
      </c>
      <c r="Y298" s="3" t="e">
        <f t="shared" si="91"/>
        <v>#DIV/0!</v>
      </c>
      <c r="Z298" s="36" t="e">
        <f t="shared" si="72"/>
        <v>#DIV/0!</v>
      </c>
      <c r="AA298" s="3" t="e">
        <f t="shared" si="65"/>
        <v>#DIV/0!</v>
      </c>
      <c r="AB298" s="36" t="e">
        <f t="shared" si="73"/>
        <v>#DIV/0!</v>
      </c>
      <c r="AC298" s="3" t="e">
        <f t="shared" si="74"/>
        <v>#DIV/0!</v>
      </c>
      <c r="AD298" s="36" t="e">
        <f t="shared" si="75"/>
        <v>#DIV/0!</v>
      </c>
      <c r="AE298" s="36" t="e">
        <f t="shared" si="76"/>
        <v>#DIV/0!</v>
      </c>
      <c r="AF298" s="36" t="e">
        <f t="shared" si="66"/>
        <v>#DIV/0!</v>
      </c>
      <c r="AG298" s="3" t="e">
        <f t="shared" si="67"/>
        <v>#DIV/0!</v>
      </c>
      <c r="AH298" s="36" t="e">
        <f t="shared" si="77"/>
        <v>#DIV/0!</v>
      </c>
      <c r="AI298" s="36" t="e">
        <f t="shared" si="78"/>
        <v>#DIV/0!</v>
      </c>
      <c r="AJ298" s="3" t="e">
        <f t="shared" si="79"/>
        <v>#DIV/0!</v>
      </c>
      <c r="AK298" s="36" t="e">
        <f t="shared" si="80"/>
        <v>#DIV/0!</v>
      </c>
      <c r="AL298" s="36" t="e">
        <f t="shared" si="81"/>
        <v>#DIV/0!</v>
      </c>
      <c r="AM298" s="36" t="e">
        <f t="shared" si="82"/>
        <v>#DIV/0!</v>
      </c>
      <c r="AV298" s="5"/>
      <c r="AW298" s="5"/>
      <c r="AX298" s="5"/>
      <c r="AY298" s="5"/>
      <c r="AZ298" s="5"/>
      <c r="BA298" s="5"/>
      <c r="BB298" s="5"/>
    </row>
    <row r="299" spans="2:171" ht="15.95" customHeight="1">
      <c r="E299"/>
      <c r="G299"/>
      <c r="W299" s="3"/>
      <c r="X299">
        <v>0.56999999999999995</v>
      </c>
      <c r="Y299" s="3" t="e">
        <f t="shared" si="91"/>
        <v>#DIV/0!</v>
      </c>
      <c r="Z299" s="36" t="e">
        <f t="shared" si="72"/>
        <v>#DIV/0!</v>
      </c>
      <c r="AA299" s="3" t="e">
        <f t="shared" si="65"/>
        <v>#DIV/0!</v>
      </c>
      <c r="AB299" s="36" t="e">
        <f t="shared" si="73"/>
        <v>#DIV/0!</v>
      </c>
      <c r="AC299" s="3" t="e">
        <f t="shared" si="74"/>
        <v>#DIV/0!</v>
      </c>
      <c r="AD299" s="36" t="e">
        <f t="shared" si="75"/>
        <v>#DIV/0!</v>
      </c>
      <c r="AE299" s="36" t="e">
        <f t="shared" si="76"/>
        <v>#DIV/0!</v>
      </c>
      <c r="AF299" s="36" t="e">
        <f t="shared" si="66"/>
        <v>#DIV/0!</v>
      </c>
      <c r="AG299" s="3" t="e">
        <f t="shared" si="67"/>
        <v>#DIV/0!</v>
      </c>
      <c r="AH299" s="36" t="e">
        <f t="shared" si="77"/>
        <v>#DIV/0!</v>
      </c>
      <c r="AI299" s="36" t="e">
        <f t="shared" si="78"/>
        <v>#DIV/0!</v>
      </c>
      <c r="AJ299" s="3" t="e">
        <f t="shared" si="79"/>
        <v>#DIV/0!</v>
      </c>
      <c r="AK299" s="36" t="e">
        <f t="shared" si="80"/>
        <v>#DIV/0!</v>
      </c>
      <c r="AL299" s="36" t="e">
        <f t="shared" si="81"/>
        <v>#DIV/0!</v>
      </c>
      <c r="AM299" s="36" t="e">
        <f t="shared" si="82"/>
        <v>#DIV/0!</v>
      </c>
      <c r="AV299" s="5"/>
      <c r="AW299" s="5"/>
      <c r="AX299" s="5"/>
      <c r="AY299" s="5"/>
      <c r="AZ299" s="5"/>
      <c r="BA299" s="5"/>
      <c r="BB299" s="5"/>
      <c r="FJ299" s="31"/>
    </row>
    <row r="300" spans="2:171" ht="15.95" customHeight="1">
      <c r="E300"/>
      <c r="G300"/>
      <c r="W300" s="3"/>
      <c r="X300">
        <v>0.56499999999999995</v>
      </c>
      <c r="Y300" s="3" t="e">
        <f t="shared" si="91"/>
        <v>#DIV/0!</v>
      </c>
      <c r="Z300" s="36" t="e">
        <f t="shared" si="72"/>
        <v>#DIV/0!</v>
      </c>
      <c r="AA300" s="3" t="e">
        <f t="shared" si="65"/>
        <v>#DIV/0!</v>
      </c>
      <c r="AB300" s="36" t="e">
        <f t="shared" si="73"/>
        <v>#DIV/0!</v>
      </c>
      <c r="AC300" s="3" t="e">
        <f t="shared" si="74"/>
        <v>#DIV/0!</v>
      </c>
      <c r="AD300" s="36" t="e">
        <f t="shared" si="75"/>
        <v>#DIV/0!</v>
      </c>
      <c r="AE300" s="36" t="e">
        <f t="shared" si="76"/>
        <v>#DIV/0!</v>
      </c>
      <c r="AF300" s="36" t="e">
        <f t="shared" si="66"/>
        <v>#DIV/0!</v>
      </c>
      <c r="AG300" s="3" t="e">
        <f t="shared" si="67"/>
        <v>#DIV/0!</v>
      </c>
      <c r="AH300" s="36" t="e">
        <f t="shared" si="77"/>
        <v>#DIV/0!</v>
      </c>
      <c r="AI300" s="36" t="e">
        <f t="shared" si="78"/>
        <v>#DIV/0!</v>
      </c>
      <c r="AJ300" s="3" t="e">
        <f t="shared" si="79"/>
        <v>#DIV/0!</v>
      </c>
      <c r="AK300" s="36" t="e">
        <f t="shared" si="80"/>
        <v>#DIV/0!</v>
      </c>
      <c r="AL300" s="36" t="e">
        <f t="shared" si="81"/>
        <v>#DIV/0!</v>
      </c>
      <c r="AM300" s="36" t="e">
        <f t="shared" si="82"/>
        <v>#DIV/0!</v>
      </c>
      <c r="AV300" s="5"/>
      <c r="AW300" s="5"/>
      <c r="AX300" s="5"/>
      <c r="AY300" s="5"/>
      <c r="AZ300" s="5"/>
      <c r="BA300" s="5"/>
      <c r="BB300" s="5"/>
      <c r="FJ300" s="31"/>
    </row>
    <row r="301" spans="2:171" ht="15.95" customHeight="1">
      <c r="E301"/>
      <c r="G301"/>
      <c r="W301" s="3"/>
      <c r="X301">
        <v>0.56000000000000005</v>
      </c>
      <c r="Y301" s="3" t="e">
        <f t="shared" si="91"/>
        <v>#DIV/0!</v>
      </c>
      <c r="Z301" s="36" t="e">
        <f t="shared" si="72"/>
        <v>#DIV/0!</v>
      </c>
      <c r="AA301" s="3" t="e">
        <f t="shared" si="65"/>
        <v>#DIV/0!</v>
      </c>
      <c r="AB301" s="36" t="e">
        <f t="shared" si="73"/>
        <v>#DIV/0!</v>
      </c>
      <c r="AC301" s="3" t="e">
        <f t="shared" si="74"/>
        <v>#DIV/0!</v>
      </c>
      <c r="AD301" s="36" t="e">
        <f t="shared" si="75"/>
        <v>#DIV/0!</v>
      </c>
      <c r="AE301" s="36" t="e">
        <f t="shared" si="76"/>
        <v>#DIV/0!</v>
      </c>
      <c r="AF301" s="36" t="e">
        <f t="shared" si="66"/>
        <v>#DIV/0!</v>
      </c>
      <c r="AG301" s="3" t="e">
        <f t="shared" si="67"/>
        <v>#DIV/0!</v>
      </c>
      <c r="AH301" s="36" t="e">
        <f t="shared" si="77"/>
        <v>#DIV/0!</v>
      </c>
      <c r="AI301" s="36" t="e">
        <f t="shared" si="78"/>
        <v>#DIV/0!</v>
      </c>
      <c r="AJ301" s="3" t="e">
        <f t="shared" si="79"/>
        <v>#DIV/0!</v>
      </c>
      <c r="AK301" s="36" t="e">
        <f t="shared" si="80"/>
        <v>#DIV/0!</v>
      </c>
      <c r="AL301" s="36" t="e">
        <f t="shared" si="81"/>
        <v>#DIV/0!</v>
      </c>
      <c r="AM301" s="36" t="e">
        <f t="shared" si="82"/>
        <v>#DIV/0!</v>
      </c>
      <c r="AV301" s="5"/>
      <c r="AW301" s="5"/>
      <c r="AX301" s="5"/>
      <c r="AY301" s="5"/>
      <c r="AZ301" s="5"/>
      <c r="BA301" s="5"/>
      <c r="BB301" s="5"/>
    </row>
    <row r="302" spans="2:171" ht="15.95" customHeight="1">
      <c r="E302"/>
      <c r="G302"/>
      <c r="W302" s="3"/>
      <c r="X302">
        <v>0.55500000000000005</v>
      </c>
      <c r="Y302" s="3" t="e">
        <f t="shared" si="91"/>
        <v>#DIV/0!</v>
      </c>
      <c r="Z302" s="36" t="e">
        <f t="shared" si="72"/>
        <v>#DIV/0!</v>
      </c>
      <c r="AA302" s="3" t="e">
        <f t="shared" si="65"/>
        <v>#DIV/0!</v>
      </c>
      <c r="AB302" s="36" t="e">
        <f t="shared" si="73"/>
        <v>#DIV/0!</v>
      </c>
      <c r="AC302" s="3" t="e">
        <f t="shared" si="74"/>
        <v>#DIV/0!</v>
      </c>
      <c r="AD302" s="36" t="e">
        <f t="shared" si="75"/>
        <v>#DIV/0!</v>
      </c>
      <c r="AE302" s="36" t="e">
        <f t="shared" si="76"/>
        <v>#DIV/0!</v>
      </c>
      <c r="AF302" s="36" t="e">
        <f t="shared" si="66"/>
        <v>#DIV/0!</v>
      </c>
      <c r="AG302" s="3" t="e">
        <f t="shared" si="67"/>
        <v>#DIV/0!</v>
      </c>
      <c r="AH302" s="36" t="e">
        <f t="shared" si="77"/>
        <v>#DIV/0!</v>
      </c>
      <c r="AI302" s="36" t="e">
        <f t="shared" si="78"/>
        <v>#DIV/0!</v>
      </c>
      <c r="AJ302" s="3" t="e">
        <f t="shared" si="79"/>
        <v>#DIV/0!</v>
      </c>
      <c r="AK302" s="36" t="e">
        <f t="shared" si="80"/>
        <v>#DIV/0!</v>
      </c>
      <c r="AL302" s="36" t="e">
        <f t="shared" si="81"/>
        <v>#DIV/0!</v>
      </c>
      <c r="AM302" s="36" t="e">
        <f t="shared" si="82"/>
        <v>#DIV/0!</v>
      </c>
      <c r="AV302" s="5"/>
      <c r="AW302" s="5"/>
      <c r="AX302" s="5"/>
      <c r="AY302" s="5"/>
      <c r="AZ302" s="5"/>
      <c r="BA302" s="5"/>
      <c r="BB302" s="5"/>
    </row>
    <row r="303" spans="2:171" ht="15.95" customHeight="1">
      <c r="E303"/>
      <c r="G303"/>
      <c r="W303" s="3"/>
      <c r="X303">
        <v>0.55000000000000004</v>
      </c>
      <c r="Y303" s="3" t="e">
        <f t="shared" si="91"/>
        <v>#DIV/0!</v>
      </c>
      <c r="Z303" s="36" t="e">
        <f t="shared" si="72"/>
        <v>#DIV/0!</v>
      </c>
      <c r="AA303" s="3" t="e">
        <f t="shared" si="65"/>
        <v>#DIV/0!</v>
      </c>
      <c r="AB303" s="36" t="e">
        <f t="shared" si="73"/>
        <v>#DIV/0!</v>
      </c>
      <c r="AC303" s="3" t="e">
        <f t="shared" si="74"/>
        <v>#DIV/0!</v>
      </c>
      <c r="AD303" s="36" t="e">
        <f t="shared" si="75"/>
        <v>#DIV/0!</v>
      </c>
      <c r="AE303" s="36" t="e">
        <f t="shared" si="76"/>
        <v>#DIV/0!</v>
      </c>
      <c r="AF303" s="36" t="e">
        <f t="shared" si="66"/>
        <v>#DIV/0!</v>
      </c>
      <c r="AG303" s="3" t="e">
        <f t="shared" si="67"/>
        <v>#DIV/0!</v>
      </c>
      <c r="AH303" s="36" t="e">
        <f t="shared" si="77"/>
        <v>#DIV/0!</v>
      </c>
      <c r="AI303" s="36" t="e">
        <f t="shared" si="78"/>
        <v>#DIV/0!</v>
      </c>
      <c r="AJ303" s="3" t="e">
        <f t="shared" si="79"/>
        <v>#DIV/0!</v>
      </c>
      <c r="AK303" s="36" t="e">
        <f t="shared" si="80"/>
        <v>#DIV/0!</v>
      </c>
      <c r="AL303" s="36" t="e">
        <f t="shared" si="81"/>
        <v>#DIV/0!</v>
      </c>
      <c r="AM303" s="36" t="e">
        <f t="shared" si="82"/>
        <v>#DIV/0!</v>
      </c>
      <c r="AV303" s="5"/>
      <c r="AW303" s="5"/>
      <c r="AX303" s="5"/>
      <c r="AY303" s="5"/>
      <c r="AZ303" s="5"/>
      <c r="BA303" s="5"/>
      <c r="BB303" s="5"/>
    </row>
    <row r="304" spans="2:171" ht="15.95" customHeight="1">
      <c r="G304"/>
      <c r="W304" s="3"/>
      <c r="X304">
        <v>0.54500000000000004</v>
      </c>
      <c r="Y304" s="3" t="e">
        <f t="shared" si="91"/>
        <v>#DIV/0!</v>
      </c>
      <c r="Z304" s="36" t="e">
        <f t="shared" si="72"/>
        <v>#DIV/0!</v>
      </c>
      <c r="AA304" s="3" t="e">
        <f t="shared" si="65"/>
        <v>#DIV/0!</v>
      </c>
      <c r="AB304" s="36" t="e">
        <f t="shared" si="73"/>
        <v>#DIV/0!</v>
      </c>
      <c r="AC304" s="3" t="e">
        <f t="shared" si="74"/>
        <v>#DIV/0!</v>
      </c>
      <c r="AD304" s="36" t="e">
        <f t="shared" si="75"/>
        <v>#DIV/0!</v>
      </c>
      <c r="AE304" s="36" t="e">
        <f t="shared" si="76"/>
        <v>#DIV/0!</v>
      </c>
      <c r="AF304" s="36" t="e">
        <f t="shared" si="66"/>
        <v>#DIV/0!</v>
      </c>
      <c r="AG304" s="3" t="e">
        <f t="shared" si="67"/>
        <v>#DIV/0!</v>
      </c>
      <c r="AH304" s="36" t="e">
        <f t="shared" si="77"/>
        <v>#DIV/0!</v>
      </c>
      <c r="AI304" s="36" t="e">
        <f t="shared" si="78"/>
        <v>#DIV/0!</v>
      </c>
      <c r="AJ304" s="3" t="e">
        <f t="shared" si="79"/>
        <v>#DIV/0!</v>
      </c>
      <c r="AK304" s="36" t="e">
        <f t="shared" si="80"/>
        <v>#DIV/0!</v>
      </c>
      <c r="AL304" s="36" t="e">
        <f t="shared" si="81"/>
        <v>#DIV/0!</v>
      </c>
      <c r="AM304" s="36" t="e">
        <f t="shared" si="82"/>
        <v>#DIV/0!</v>
      </c>
      <c r="AV304" s="5"/>
      <c r="AW304" s="5"/>
      <c r="AX304" s="5"/>
      <c r="AY304" s="5"/>
      <c r="AZ304" s="5"/>
      <c r="BA304" s="5"/>
      <c r="BB304" s="5"/>
    </row>
    <row r="305" spans="1:54" ht="15.95" customHeight="1">
      <c r="G305"/>
      <c r="W305" s="3"/>
      <c r="X305">
        <v>0.54</v>
      </c>
      <c r="Y305" s="3" t="e">
        <f t="shared" si="91"/>
        <v>#DIV/0!</v>
      </c>
      <c r="Z305" s="36" t="e">
        <f t="shared" si="72"/>
        <v>#DIV/0!</v>
      </c>
      <c r="AA305" s="3" t="e">
        <f t="shared" si="65"/>
        <v>#DIV/0!</v>
      </c>
      <c r="AB305" s="36" t="e">
        <f t="shared" si="73"/>
        <v>#DIV/0!</v>
      </c>
      <c r="AC305" s="3" t="e">
        <f t="shared" si="74"/>
        <v>#DIV/0!</v>
      </c>
      <c r="AD305" s="36" t="e">
        <f t="shared" si="75"/>
        <v>#DIV/0!</v>
      </c>
      <c r="AE305" s="36" t="e">
        <f t="shared" si="76"/>
        <v>#DIV/0!</v>
      </c>
      <c r="AF305" s="36" t="e">
        <f t="shared" si="66"/>
        <v>#DIV/0!</v>
      </c>
      <c r="AG305" s="3" t="e">
        <f t="shared" si="67"/>
        <v>#DIV/0!</v>
      </c>
      <c r="AH305" s="36" t="e">
        <f t="shared" si="77"/>
        <v>#DIV/0!</v>
      </c>
      <c r="AI305" s="36" t="e">
        <f t="shared" si="78"/>
        <v>#DIV/0!</v>
      </c>
      <c r="AJ305" s="3" t="e">
        <f t="shared" si="79"/>
        <v>#DIV/0!</v>
      </c>
      <c r="AK305" s="36" t="e">
        <f t="shared" si="80"/>
        <v>#DIV/0!</v>
      </c>
      <c r="AL305" s="36" t="e">
        <f t="shared" si="81"/>
        <v>#DIV/0!</v>
      </c>
      <c r="AM305" s="36" t="e">
        <f t="shared" si="82"/>
        <v>#DIV/0!</v>
      </c>
      <c r="AV305" s="5"/>
      <c r="AW305" s="5"/>
      <c r="AX305" s="5"/>
      <c r="AY305" s="5"/>
      <c r="AZ305" s="5"/>
      <c r="BA305" s="5"/>
      <c r="BB305" s="5"/>
    </row>
    <row r="306" spans="1:54" ht="15.95" customHeight="1">
      <c r="B306" s="86" t="s">
        <v>176</v>
      </c>
      <c r="C306" s="86"/>
      <c r="D306" s="86"/>
      <c r="E306" s="86"/>
      <c r="F306" s="86"/>
      <c r="G306" s="86"/>
      <c r="H306" s="86"/>
      <c r="W306" s="3"/>
      <c r="X306">
        <v>0.53500000000000003</v>
      </c>
      <c r="Y306" s="3" t="e">
        <f t="shared" si="91"/>
        <v>#DIV/0!</v>
      </c>
      <c r="Z306" s="36" t="e">
        <f t="shared" si="72"/>
        <v>#DIV/0!</v>
      </c>
      <c r="AA306" s="3" t="e">
        <f t="shared" si="65"/>
        <v>#DIV/0!</v>
      </c>
      <c r="AB306" s="36" t="e">
        <f t="shared" si="73"/>
        <v>#DIV/0!</v>
      </c>
      <c r="AC306" s="3" t="e">
        <f t="shared" si="74"/>
        <v>#DIV/0!</v>
      </c>
      <c r="AD306" s="36" t="e">
        <f t="shared" si="75"/>
        <v>#DIV/0!</v>
      </c>
      <c r="AE306" s="36" t="e">
        <f t="shared" si="76"/>
        <v>#DIV/0!</v>
      </c>
      <c r="AF306" s="36" t="e">
        <f t="shared" si="66"/>
        <v>#DIV/0!</v>
      </c>
      <c r="AG306" s="3" t="e">
        <f t="shared" si="67"/>
        <v>#DIV/0!</v>
      </c>
      <c r="AH306" s="36" t="e">
        <f t="shared" si="77"/>
        <v>#DIV/0!</v>
      </c>
      <c r="AI306" s="36" t="e">
        <f t="shared" si="78"/>
        <v>#DIV/0!</v>
      </c>
      <c r="AJ306" s="3" t="e">
        <f t="shared" si="79"/>
        <v>#DIV/0!</v>
      </c>
      <c r="AK306" s="36" t="e">
        <f t="shared" si="80"/>
        <v>#DIV/0!</v>
      </c>
      <c r="AL306" s="36" t="e">
        <f t="shared" si="81"/>
        <v>#DIV/0!</v>
      </c>
      <c r="AM306" s="36" t="e">
        <f t="shared" si="82"/>
        <v>#DIV/0!</v>
      </c>
      <c r="AV306" s="5"/>
      <c r="AW306" s="5"/>
      <c r="AX306" s="5"/>
      <c r="AY306" s="5"/>
      <c r="AZ306" s="5"/>
      <c r="BA306" s="5"/>
      <c r="BB306" s="5"/>
    </row>
    <row r="307" spans="1:54" ht="15.95" customHeight="1">
      <c r="A307" s="42"/>
      <c r="B307" s="85" t="s">
        <v>173</v>
      </c>
      <c r="C307" s="85" t="s">
        <v>174</v>
      </c>
      <c r="D307" s="62" t="s">
        <v>162</v>
      </c>
      <c r="E307" s="62" t="s">
        <v>143</v>
      </c>
      <c r="F307" s="62" t="s">
        <v>175</v>
      </c>
      <c r="G307" s="62" t="s">
        <v>144</v>
      </c>
      <c r="H307" s="62" t="s">
        <v>177</v>
      </c>
      <c r="W307" s="3"/>
      <c r="X307">
        <v>0.53</v>
      </c>
      <c r="Y307" s="3" t="e">
        <f t="shared" si="91"/>
        <v>#DIV/0!</v>
      </c>
      <c r="Z307" s="36" t="e">
        <f t="shared" si="72"/>
        <v>#DIV/0!</v>
      </c>
      <c r="AA307" s="3" t="e">
        <f t="shared" si="65"/>
        <v>#DIV/0!</v>
      </c>
      <c r="AB307" s="36" t="e">
        <f t="shared" si="73"/>
        <v>#DIV/0!</v>
      </c>
      <c r="AC307" s="3" t="e">
        <f t="shared" si="74"/>
        <v>#DIV/0!</v>
      </c>
      <c r="AD307" s="36" t="e">
        <f t="shared" si="75"/>
        <v>#DIV/0!</v>
      </c>
      <c r="AE307" s="36" t="e">
        <f t="shared" si="76"/>
        <v>#DIV/0!</v>
      </c>
      <c r="AF307" s="36" t="e">
        <f t="shared" si="66"/>
        <v>#DIV/0!</v>
      </c>
      <c r="AG307" s="3" t="e">
        <f t="shared" si="67"/>
        <v>#DIV/0!</v>
      </c>
      <c r="AH307" s="36" t="e">
        <f t="shared" si="77"/>
        <v>#DIV/0!</v>
      </c>
      <c r="AI307" s="36" t="e">
        <f t="shared" si="78"/>
        <v>#DIV/0!</v>
      </c>
      <c r="AJ307" s="3" t="e">
        <f t="shared" si="79"/>
        <v>#DIV/0!</v>
      </c>
      <c r="AK307" s="36" t="e">
        <f t="shared" si="80"/>
        <v>#DIV/0!</v>
      </c>
      <c r="AL307" s="36" t="e">
        <f t="shared" si="81"/>
        <v>#DIV/0!</v>
      </c>
      <c r="AM307" s="36" t="e">
        <f t="shared" si="82"/>
        <v>#DIV/0!</v>
      </c>
      <c r="AV307" s="5"/>
      <c r="AW307" s="5"/>
      <c r="AX307" s="5"/>
      <c r="AY307" s="5"/>
      <c r="AZ307" s="5"/>
      <c r="BA307" s="5"/>
      <c r="BB307" s="5"/>
    </row>
    <row r="308" spans="1:54" ht="15.95" customHeight="1">
      <c r="B308" s="85"/>
      <c r="C308" s="85"/>
      <c r="D308" s="62"/>
      <c r="E308" s="62"/>
      <c r="F308" s="62"/>
      <c r="G308" s="62"/>
      <c r="H308" s="62"/>
      <c r="J308" s="54" t="s">
        <v>181</v>
      </c>
      <c r="K308" s="55"/>
      <c r="M308" s="54"/>
      <c r="N308" s="55"/>
      <c r="W308" s="3"/>
      <c r="X308">
        <v>0.52500000000000002</v>
      </c>
      <c r="Y308" s="3" t="e">
        <f t="shared" si="91"/>
        <v>#DIV/0!</v>
      </c>
      <c r="Z308" s="36" t="e">
        <f t="shared" si="72"/>
        <v>#DIV/0!</v>
      </c>
      <c r="AA308" s="3" t="e">
        <f t="shared" si="65"/>
        <v>#DIV/0!</v>
      </c>
      <c r="AB308" s="36" t="e">
        <f t="shared" si="73"/>
        <v>#DIV/0!</v>
      </c>
      <c r="AC308" s="3" t="e">
        <f t="shared" si="74"/>
        <v>#DIV/0!</v>
      </c>
      <c r="AD308" s="36" t="e">
        <f t="shared" si="75"/>
        <v>#DIV/0!</v>
      </c>
      <c r="AE308" s="36" t="e">
        <f t="shared" si="76"/>
        <v>#DIV/0!</v>
      </c>
      <c r="AF308" s="36" t="e">
        <f t="shared" si="66"/>
        <v>#DIV/0!</v>
      </c>
      <c r="AG308" s="3" t="e">
        <f t="shared" si="67"/>
        <v>#DIV/0!</v>
      </c>
      <c r="AH308" s="36" t="e">
        <f t="shared" si="77"/>
        <v>#DIV/0!</v>
      </c>
      <c r="AI308" s="36" t="e">
        <f t="shared" si="78"/>
        <v>#DIV/0!</v>
      </c>
      <c r="AJ308" s="3" t="e">
        <f t="shared" si="79"/>
        <v>#DIV/0!</v>
      </c>
      <c r="AK308" s="36" t="e">
        <f t="shared" si="80"/>
        <v>#DIV/0!</v>
      </c>
      <c r="AL308" s="36" t="e">
        <f t="shared" si="81"/>
        <v>#DIV/0!</v>
      </c>
      <c r="AM308" s="36" t="e">
        <f t="shared" si="82"/>
        <v>#DIV/0!</v>
      </c>
      <c r="AV308" s="5"/>
      <c r="AW308" s="5"/>
      <c r="AX308" s="5"/>
      <c r="AY308" s="5"/>
      <c r="AZ308" s="5"/>
      <c r="BA308" s="5"/>
      <c r="BB308" s="5"/>
    </row>
    <row r="309" spans="1:54" ht="15.95" customHeight="1">
      <c r="B309" s="85"/>
      <c r="C309" s="85"/>
      <c r="D309" s="62"/>
      <c r="E309" s="62"/>
      <c r="F309" s="62"/>
      <c r="G309" s="62"/>
      <c r="H309" s="62"/>
      <c r="W309" s="3"/>
      <c r="X309">
        <v>0.52</v>
      </c>
      <c r="Y309" s="3" t="e">
        <f t="shared" si="91"/>
        <v>#DIV/0!</v>
      </c>
      <c r="Z309" s="36" t="e">
        <f t="shared" si="72"/>
        <v>#DIV/0!</v>
      </c>
      <c r="AA309" s="3" t="e">
        <f t="shared" ref="AA309:AA340" si="92">Z309/SIN((0.5*$H$15*PI()/180))</f>
        <v>#DIV/0!</v>
      </c>
      <c r="AB309" s="36" t="e">
        <f t="shared" si="73"/>
        <v>#DIV/0!</v>
      </c>
      <c r="AC309" s="3" t="e">
        <f t="shared" si="74"/>
        <v>#DIV/0!</v>
      </c>
      <c r="AD309" s="36" t="e">
        <f t="shared" si="75"/>
        <v>#DIV/0!</v>
      </c>
      <c r="AE309" s="36" t="e">
        <f t="shared" si="76"/>
        <v>#DIV/0!</v>
      </c>
      <c r="AF309" s="36" t="e">
        <f t="shared" ref="AF309:AF340" si="93">Y309*SIN($H$15/2*PI()/180)</f>
        <v>#DIV/0!</v>
      </c>
      <c r="AG309" s="3" t="e">
        <f t="shared" ref="AG309:AG340" si="94">AF309/SIN((0.5*$H$15*PI()/180))</f>
        <v>#DIV/0!</v>
      </c>
      <c r="AH309" s="36" t="e">
        <f t="shared" si="77"/>
        <v>#DIV/0!</v>
      </c>
      <c r="AI309" s="36" t="e">
        <f t="shared" si="78"/>
        <v>#DIV/0!</v>
      </c>
      <c r="AJ309" s="3" t="e">
        <f t="shared" si="79"/>
        <v>#DIV/0!</v>
      </c>
      <c r="AK309" s="36" t="e">
        <f t="shared" si="80"/>
        <v>#DIV/0!</v>
      </c>
      <c r="AL309" s="36" t="e">
        <f t="shared" si="81"/>
        <v>#DIV/0!</v>
      </c>
      <c r="AM309" s="36" t="e">
        <f t="shared" si="82"/>
        <v>#DIV/0!</v>
      </c>
      <c r="AV309" s="5"/>
      <c r="AW309" s="5"/>
      <c r="AX309" s="5"/>
      <c r="AY309" s="5"/>
      <c r="AZ309" s="5"/>
      <c r="BA309" s="5"/>
      <c r="BB309" s="5"/>
    </row>
    <row r="310" spans="1:54" ht="15.95" customHeight="1">
      <c r="A310" s="42"/>
      <c r="B310" s="41">
        <v>5.0000000000000001E-3</v>
      </c>
      <c r="C310" s="41" t="e">
        <f>((-LN(B310))/$M$22)*10000</f>
        <v>#DIV/0!</v>
      </c>
      <c r="D310" s="35" t="e">
        <f>C310*SIN($F$15*PI()/180)</f>
        <v>#DIV/0!</v>
      </c>
      <c r="E310" s="41" t="e">
        <f>D310/SIN((0.5*$H$15*PI()/180))</f>
        <v>#DIV/0!</v>
      </c>
      <c r="F310" s="36" t="e">
        <f>B310*EXP(-($M$22/10000)*E310)*100</f>
        <v>#DIV/0!</v>
      </c>
      <c r="G310" s="36" t="e">
        <f>D310/SIN((0.5*$J$15*PI()/180))</f>
        <v>#DIV/0!</v>
      </c>
      <c r="H310" s="36" t="e">
        <f>B310*EXP(-($M$22/10000)*G310)*100</f>
        <v>#DIV/0!</v>
      </c>
      <c r="J310" s="42">
        <f>L15</f>
        <v>10</v>
      </c>
      <c r="K310" s="36">
        <v>0</v>
      </c>
      <c r="M310" s="36"/>
      <c r="W310" s="3"/>
      <c r="X310">
        <v>0.51500000000000001</v>
      </c>
      <c r="Y310" s="3" t="e">
        <f t="shared" si="91"/>
        <v>#DIV/0!</v>
      </c>
      <c r="Z310" s="36" t="e">
        <f t="shared" si="72"/>
        <v>#DIV/0!</v>
      </c>
      <c r="AA310" s="3" t="e">
        <f t="shared" si="92"/>
        <v>#DIV/0!</v>
      </c>
      <c r="AB310" s="36" t="e">
        <f t="shared" si="73"/>
        <v>#DIV/0!</v>
      </c>
      <c r="AC310" s="3" t="e">
        <f t="shared" si="74"/>
        <v>#DIV/0!</v>
      </c>
      <c r="AD310" s="36" t="e">
        <f t="shared" si="75"/>
        <v>#DIV/0!</v>
      </c>
      <c r="AE310" s="36" t="e">
        <f t="shared" ref="AE310:AE341" si="95">Z310*(-1)</f>
        <v>#DIV/0!</v>
      </c>
      <c r="AF310" s="36" t="e">
        <f t="shared" si="93"/>
        <v>#DIV/0!</v>
      </c>
      <c r="AG310" s="3" t="e">
        <f t="shared" si="94"/>
        <v>#DIV/0!</v>
      </c>
      <c r="AH310" s="36" t="e">
        <f t="shared" si="77"/>
        <v>#DIV/0!</v>
      </c>
      <c r="AI310" s="36" t="e">
        <f t="shared" si="78"/>
        <v>#DIV/0!</v>
      </c>
      <c r="AJ310" s="3" t="e">
        <f t="shared" si="79"/>
        <v>#DIV/0!</v>
      </c>
      <c r="AK310" s="36" t="e">
        <f t="shared" si="80"/>
        <v>#DIV/0!</v>
      </c>
      <c r="AL310" s="36" t="e">
        <f t="shared" ref="AL310:AL341" si="96">AF310*(-1)</f>
        <v>#DIV/0!</v>
      </c>
      <c r="AM310" s="36" t="e">
        <f t="shared" si="82"/>
        <v>#DIV/0!</v>
      </c>
      <c r="AU310"/>
    </row>
    <row r="311" spans="1:54" ht="15.95" customHeight="1">
      <c r="B311" s="41">
        <v>0.01</v>
      </c>
      <c r="C311" s="41" t="e">
        <f t="shared" ref="C311:C374" si="97">((-LN(B311))/$M$22)*10000</f>
        <v>#DIV/0!</v>
      </c>
      <c r="D311" s="35" t="e">
        <f t="shared" ref="D311:D374" si="98">C311*SIN($F$15*PI()/180)</f>
        <v>#DIV/0!</v>
      </c>
      <c r="E311" s="41" t="e">
        <f t="shared" ref="E311:E374" si="99">D311/SIN((0.5*$H$15*PI()/180))</f>
        <v>#DIV/0!</v>
      </c>
      <c r="F311" s="36" t="e">
        <f t="shared" ref="F311:F374" si="100">B311*EXP(-($M$22/10000)*E311)*100</f>
        <v>#DIV/0!</v>
      </c>
      <c r="G311" s="36" t="e">
        <f t="shared" ref="G311:G374" si="101">D311/SIN((0.5*$J$15*PI()/180))</f>
        <v>#DIV/0!</v>
      </c>
      <c r="H311" s="36" t="e">
        <f t="shared" ref="H311:H374" si="102">B311*EXP(-($M$22/10000)*G311)*100</f>
        <v>#DIV/0!</v>
      </c>
      <c r="J311" s="42">
        <f>L15</f>
        <v>10</v>
      </c>
      <c r="K311" s="36" t="e">
        <f>AE412*1.1</f>
        <v>#DIV/0!</v>
      </c>
      <c r="M311" s="36"/>
      <c r="W311" s="3"/>
      <c r="X311">
        <v>0.51</v>
      </c>
      <c r="Y311" s="3" t="e">
        <f t="shared" si="91"/>
        <v>#DIV/0!</v>
      </c>
      <c r="Z311" s="36" t="e">
        <f t="shared" si="72"/>
        <v>#DIV/0!</v>
      </c>
      <c r="AA311" s="3" t="e">
        <f t="shared" si="92"/>
        <v>#DIV/0!</v>
      </c>
      <c r="AB311" s="36" t="e">
        <f t="shared" si="73"/>
        <v>#DIV/0!</v>
      </c>
      <c r="AC311" s="3" t="e">
        <f t="shared" si="74"/>
        <v>#DIV/0!</v>
      </c>
      <c r="AD311" s="36" t="e">
        <f t="shared" si="75"/>
        <v>#DIV/0!</v>
      </c>
      <c r="AE311" s="36" t="e">
        <f t="shared" si="95"/>
        <v>#DIV/0!</v>
      </c>
      <c r="AF311" s="36" t="e">
        <f t="shared" si="93"/>
        <v>#DIV/0!</v>
      </c>
      <c r="AG311" s="3" t="e">
        <f t="shared" si="94"/>
        <v>#DIV/0!</v>
      </c>
      <c r="AH311" s="36" t="e">
        <f t="shared" si="77"/>
        <v>#DIV/0!</v>
      </c>
      <c r="AI311" s="36" t="e">
        <f t="shared" si="78"/>
        <v>#DIV/0!</v>
      </c>
      <c r="AJ311" s="3" t="e">
        <f t="shared" si="79"/>
        <v>#DIV/0!</v>
      </c>
      <c r="AK311" s="36" t="e">
        <f t="shared" si="80"/>
        <v>#DIV/0!</v>
      </c>
      <c r="AL311" s="36" t="e">
        <f t="shared" si="96"/>
        <v>#DIV/0!</v>
      </c>
      <c r="AM311" s="36" t="e">
        <f t="shared" si="82"/>
        <v>#DIV/0!</v>
      </c>
      <c r="AU311"/>
    </row>
    <row r="312" spans="1:54" ht="15.95" customHeight="1">
      <c r="B312" s="41">
        <v>1.4999999999999999E-2</v>
      </c>
      <c r="C312" s="41" t="e">
        <f t="shared" si="97"/>
        <v>#DIV/0!</v>
      </c>
      <c r="D312" s="35" t="e">
        <f t="shared" si="98"/>
        <v>#DIV/0!</v>
      </c>
      <c r="E312" s="41" t="e">
        <f t="shared" si="99"/>
        <v>#DIV/0!</v>
      </c>
      <c r="F312" s="36" t="e">
        <f t="shared" si="100"/>
        <v>#DIV/0!</v>
      </c>
      <c r="G312" s="36" t="e">
        <f t="shared" si="101"/>
        <v>#DIV/0!</v>
      </c>
      <c r="H312" s="36" t="e">
        <f t="shared" si="102"/>
        <v>#DIV/0!</v>
      </c>
      <c r="W312" s="3"/>
      <c r="X312">
        <v>0.505</v>
      </c>
      <c r="Y312" s="3" t="e">
        <f t="shared" si="91"/>
        <v>#DIV/0!</v>
      </c>
      <c r="Z312" s="36" t="e">
        <f t="shared" si="72"/>
        <v>#DIV/0!</v>
      </c>
      <c r="AA312" s="3" t="e">
        <f t="shared" si="92"/>
        <v>#DIV/0!</v>
      </c>
      <c r="AB312" s="36" t="e">
        <f t="shared" si="73"/>
        <v>#DIV/0!</v>
      </c>
      <c r="AC312" s="3" t="e">
        <f t="shared" si="74"/>
        <v>#DIV/0!</v>
      </c>
      <c r="AD312" s="36" t="e">
        <f t="shared" si="75"/>
        <v>#DIV/0!</v>
      </c>
      <c r="AE312" s="36" t="e">
        <f t="shared" si="95"/>
        <v>#DIV/0!</v>
      </c>
      <c r="AF312" s="36" t="e">
        <f t="shared" si="93"/>
        <v>#DIV/0!</v>
      </c>
      <c r="AG312" s="3" t="e">
        <f t="shared" si="94"/>
        <v>#DIV/0!</v>
      </c>
      <c r="AH312" s="36" t="e">
        <f t="shared" si="77"/>
        <v>#DIV/0!</v>
      </c>
      <c r="AI312" s="36" t="e">
        <f t="shared" si="78"/>
        <v>#DIV/0!</v>
      </c>
      <c r="AJ312" s="3" t="e">
        <f t="shared" si="79"/>
        <v>#DIV/0!</v>
      </c>
      <c r="AK312" s="36" t="e">
        <f t="shared" si="80"/>
        <v>#DIV/0!</v>
      </c>
      <c r="AL312" s="36" t="e">
        <f t="shared" si="96"/>
        <v>#DIV/0!</v>
      </c>
      <c r="AM312" s="36" t="e">
        <f t="shared" si="82"/>
        <v>#DIV/0!</v>
      </c>
      <c r="AU312"/>
    </row>
    <row r="313" spans="1:54" ht="15.95" customHeight="1">
      <c r="B313" s="41">
        <v>0.02</v>
      </c>
      <c r="C313" s="41" t="e">
        <f t="shared" si="97"/>
        <v>#DIV/0!</v>
      </c>
      <c r="D313" s="35" t="e">
        <f t="shared" si="98"/>
        <v>#DIV/0!</v>
      </c>
      <c r="E313" s="41" t="e">
        <f t="shared" si="99"/>
        <v>#DIV/0!</v>
      </c>
      <c r="F313" s="36" t="e">
        <f t="shared" si="100"/>
        <v>#DIV/0!</v>
      </c>
      <c r="G313" s="36" t="e">
        <f t="shared" si="101"/>
        <v>#DIV/0!</v>
      </c>
      <c r="H313" s="36" t="e">
        <f t="shared" si="102"/>
        <v>#DIV/0!</v>
      </c>
      <c r="W313" s="3"/>
      <c r="X313">
        <v>0.5</v>
      </c>
      <c r="Y313" s="3" t="e">
        <f t="shared" si="91"/>
        <v>#DIV/0!</v>
      </c>
      <c r="Z313" s="36" t="e">
        <f t="shared" si="72"/>
        <v>#DIV/0!</v>
      </c>
      <c r="AA313" s="3" t="e">
        <f t="shared" si="92"/>
        <v>#DIV/0!</v>
      </c>
      <c r="AB313" s="36" t="e">
        <f t="shared" si="73"/>
        <v>#DIV/0!</v>
      </c>
      <c r="AC313" s="3" t="e">
        <f t="shared" si="74"/>
        <v>#DIV/0!</v>
      </c>
      <c r="AD313" s="36" t="e">
        <f t="shared" si="75"/>
        <v>#DIV/0!</v>
      </c>
      <c r="AE313" s="36" t="e">
        <f t="shared" si="95"/>
        <v>#DIV/0!</v>
      </c>
      <c r="AF313" s="36" t="e">
        <f t="shared" si="93"/>
        <v>#DIV/0!</v>
      </c>
      <c r="AG313" s="3" t="e">
        <f t="shared" si="94"/>
        <v>#DIV/0!</v>
      </c>
      <c r="AH313" s="36" t="e">
        <f t="shared" si="77"/>
        <v>#DIV/0!</v>
      </c>
      <c r="AI313" s="36" t="e">
        <f t="shared" si="78"/>
        <v>#DIV/0!</v>
      </c>
      <c r="AJ313" s="3" t="e">
        <f t="shared" si="79"/>
        <v>#DIV/0!</v>
      </c>
      <c r="AK313" s="36" t="e">
        <f t="shared" si="80"/>
        <v>#DIV/0!</v>
      </c>
      <c r="AL313" s="36" t="e">
        <f t="shared" si="96"/>
        <v>#DIV/0!</v>
      </c>
      <c r="AM313" s="36" t="e">
        <f t="shared" si="82"/>
        <v>#DIV/0!</v>
      </c>
      <c r="AU313"/>
    </row>
    <row r="314" spans="1:54" ht="15.95" customHeight="1">
      <c r="B314" s="41">
        <v>2.5000000000000001E-2</v>
      </c>
      <c r="C314" s="41" t="e">
        <f t="shared" si="97"/>
        <v>#DIV/0!</v>
      </c>
      <c r="D314" s="35" t="e">
        <f t="shared" si="98"/>
        <v>#DIV/0!</v>
      </c>
      <c r="E314" s="41" t="e">
        <f t="shared" si="99"/>
        <v>#DIV/0!</v>
      </c>
      <c r="F314" s="36" t="e">
        <f t="shared" si="100"/>
        <v>#DIV/0!</v>
      </c>
      <c r="G314" s="36" t="e">
        <f t="shared" si="101"/>
        <v>#DIV/0!</v>
      </c>
      <c r="H314" s="36" t="e">
        <f t="shared" si="102"/>
        <v>#DIV/0!</v>
      </c>
      <c r="W314" s="3"/>
      <c r="X314">
        <v>0.495</v>
      </c>
      <c r="Y314" s="3" t="e">
        <f t="shared" si="91"/>
        <v>#DIV/0!</v>
      </c>
      <c r="Z314" s="36" t="e">
        <f t="shared" si="72"/>
        <v>#DIV/0!</v>
      </c>
      <c r="AA314" s="3" t="e">
        <f t="shared" si="92"/>
        <v>#DIV/0!</v>
      </c>
      <c r="AB314" s="36" t="e">
        <f t="shared" si="73"/>
        <v>#DIV/0!</v>
      </c>
      <c r="AC314" s="3" t="e">
        <f t="shared" si="74"/>
        <v>#DIV/0!</v>
      </c>
      <c r="AD314" s="36" t="e">
        <f t="shared" si="75"/>
        <v>#DIV/0!</v>
      </c>
      <c r="AE314" s="36" t="e">
        <f t="shared" si="95"/>
        <v>#DIV/0!</v>
      </c>
      <c r="AF314" s="36" t="e">
        <f t="shared" si="93"/>
        <v>#DIV/0!</v>
      </c>
      <c r="AG314" s="3" t="e">
        <f t="shared" si="94"/>
        <v>#DIV/0!</v>
      </c>
      <c r="AH314" s="36" t="e">
        <f t="shared" si="77"/>
        <v>#DIV/0!</v>
      </c>
      <c r="AI314" s="36" t="e">
        <f t="shared" si="78"/>
        <v>#DIV/0!</v>
      </c>
      <c r="AJ314" s="3" t="e">
        <f t="shared" si="79"/>
        <v>#DIV/0!</v>
      </c>
      <c r="AK314" s="36" t="e">
        <f t="shared" si="80"/>
        <v>#DIV/0!</v>
      </c>
      <c r="AL314" s="36" t="e">
        <f t="shared" si="96"/>
        <v>#DIV/0!</v>
      </c>
      <c r="AM314" s="36" t="e">
        <f t="shared" si="82"/>
        <v>#DIV/0!</v>
      </c>
      <c r="AU314"/>
    </row>
    <row r="315" spans="1:54" ht="15.95" customHeight="1">
      <c r="B315" s="41">
        <v>0.03</v>
      </c>
      <c r="C315" s="41" t="e">
        <f t="shared" si="97"/>
        <v>#DIV/0!</v>
      </c>
      <c r="D315" s="35" t="e">
        <f t="shared" si="98"/>
        <v>#DIV/0!</v>
      </c>
      <c r="E315" s="41" t="e">
        <f t="shared" si="99"/>
        <v>#DIV/0!</v>
      </c>
      <c r="F315" s="36" t="e">
        <f t="shared" si="100"/>
        <v>#DIV/0!</v>
      </c>
      <c r="G315" s="36" t="e">
        <f t="shared" si="101"/>
        <v>#DIV/0!</v>
      </c>
      <c r="H315" s="36" t="e">
        <f t="shared" si="102"/>
        <v>#DIV/0!</v>
      </c>
      <c r="W315" s="3"/>
      <c r="X315">
        <v>0.49</v>
      </c>
      <c r="Y315" s="3" t="e">
        <f t="shared" si="91"/>
        <v>#DIV/0!</v>
      </c>
      <c r="Z315" s="36" t="e">
        <f t="shared" si="72"/>
        <v>#DIV/0!</v>
      </c>
      <c r="AA315" s="3" t="e">
        <f t="shared" si="92"/>
        <v>#DIV/0!</v>
      </c>
      <c r="AB315" s="36" t="e">
        <f t="shared" si="73"/>
        <v>#DIV/0!</v>
      </c>
      <c r="AC315" s="3" t="e">
        <f t="shared" si="74"/>
        <v>#DIV/0!</v>
      </c>
      <c r="AD315" s="36" t="e">
        <f t="shared" si="75"/>
        <v>#DIV/0!</v>
      </c>
      <c r="AE315" s="36" t="e">
        <f t="shared" si="95"/>
        <v>#DIV/0!</v>
      </c>
      <c r="AF315" s="36" t="e">
        <f t="shared" si="93"/>
        <v>#DIV/0!</v>
      </c>
      <c r="AG315" s="3" t="e">
        <f t="shared" si="94"/>
        <v>#DIV/0!</v>
      </c>
      <c r="AH315" s="36" t="e">
        <f t="shared" si="77"/>
        <v>#DIV/0!</v>
      </c>
      <c r="AI315" s="36" t="e">
        <f t="shared" si="78"/>
        <v>#DIV/0!</v>
      </c>
      <c r="AJ315" s="3" t="e">
        <f t="shared" si="79"/>
        <v>#DIV/0!</v>
      </c>
      <c r="AK315" s="36" t="e">
        <f t="shared" si="80"/>
        <v>#DIV/0!</v>
      </c>
      <c r="AL315" s="36" t="e">
        <f t="shared" si="96"/>
        <v>#DIV/0!</v>
      </c>
      <c r="AM315" s="36" t="e">
        <f t="shared" si="82"/>
        <v>#DIV/0!</v>
      </c>
      <c r="AU315"/>
    </row>
    <row r="316" spans="1:54" ht="15.95" customHeight="1">
      <c r="B316" s="41">
        <v>3.5000000000000003E-2</v>
      </c>
      <c r="C316" s="41" t="e">
        <f t="shared" si="97"/>
        <v>#DIV/0!</v>
      </c>
      <c r="D316" s="35" t="e">
        <f t="shared" si="98"/>
        <v>#DIV/0!</v>
      </c>
      <c r="E316" s="41" t="e">
        <f t="shared" si="99"/>
        <v>#DIV/0!</v>
      </c>
      <c r="F316" s="36" t="e">
        <f t="shared" si="100"/>
        <v>#DIV/0!</v>
      </c>
      <c r="G316" s="36" t="e">
        <f t="shared" si="101"/>
        <v>#DIV/0!</v>
      </c>
      <c r="H316" s="36" t="e">
        <f t="shared" si="102"/>
        <v>#DIV/0!</v>
      </c>
      <c r="W316" s="3"/>
      <c r="X316">
        <v>0.48499999999999999</v>
      </c>
      <c r="Y316" s="3" t="e">
        <f t="shared" si="91"/>
        <v>#DIV/0!</v>
      </c>
      <c r="Z316" s="36" t="e">
        <f t="shared" si="72"/>
        <v>#DIV/0!</v>
      </c>
      <c r="AA316" s="3" t="e">
        <f t="shared" si="92"/>
        <v>#DIV/0!</v>
      </c>
      <c r="AB316" s="36" t="e">
        <f t="shared" si="73"/>
        <v>#DIV/0!</v>
      </c>
      <c r="AC316" s="3" t="e">
        <f t="shared" si="74"/>
        <v>#DIV/0!</v>
      </c>
      <c r="AD316" s="36" t="e">
        <f t="shared" si="75"/>
        <v>#DIV/0!</v>
      </c>
      <c r="AE316" s="36" t="e">
        <f t="shared" si="95"/>
        <v>#DIV/0!</v>
      </c>
      <c r="AF316" s="36" t="e">
        <f t="shared" si="93"/>
        <v>#DIV/0!</v>
      </c>
      <c r="AG316" s="3" t="e">
        <f t="shared" si="94"/>
        <v>#DIV/0!</v>
      </c>
      <c r="AH316" s="36" t="e">
        <f t="shared" si="77"/>
        <v>#DIV/0!</v>
      </c>
      <c r="AI316" s="36" t="e">
        <f t="shared" si="78"/>
        <v>#DIV/0!</v>
      </c>
      <c r="AJ316" s="3" t="e">
        <f t="shared" si="79"/>
        <v>#DIV/0!</v>
      </c>
      <c r="AK316" s="36" t="e">
        <f t="shared" si="80"/>
        <v>#DIV/0!</v>
      </c>
      <c r="AL316" s="36" t="e">
        <f t="shared" si="96"/>
        <v>#DIV/0!</v>
      </c>
      <c r="AM316" s="36" t="e">
        <f t="shared" si="82"/>
        <v>#DIV/0!</v>
      </c>
      <c r="AU316"/>
    </row>
    <row r="317" spans="1:54" ht="15.95" customHeight="1">
      <c r="B317" s="41">
        <v>0.04</v>
      </c>
      <c r="C317" s="41" t="e">
        <f t="shared" si="97"/>
        <v>#DIV/0!</v>
      </c>
      <c r="D317" s="35" t="e">
        <f t="shared" si="98"/>
        <v>#DIV/0!</v>
      </c>
      <c r="E317" s="41" t="e">
        <f t="shared" si="99"/>
        <v>#DIV/0!</v>
      </c>
      <c r="F317" s="36" t="e">
        <f t="shared" si="100"/>
        <v>#DIV/0!</v>
      </c>
      <c r="G317" s="36" t="e">
        <f t="shared" si="101"/>
        <v>#DIV/0!</v>
      </c>
      <c r="H317" s="36" t="e">
        <f t="shared" si="102"/>
        <v>#DIV/0!</v>
      </c>
      <c r="W317" s="3"/>
      <c r="X317">
        <v>0.48</v>
      </c>
      <c r="Y317" s="3" t="e">
        <f t="shared" si="91"/>
        <v>#DIV/0!</v>
      </c>
      <c r="Z317" s="36" t="e">
        <f t="shared" si="72"/>
        <v>#DIV/0!</v>
      </c>
      <c r="AA317" s="3" t="e">
        <f t="shared" si="92"/>
        <v>#DIV/0!</v>
      </c>
      <c r="AB317" s="36" t="e">
        <f t="shared" si="73"/>
        <v>#DIV/0!</v>
      </c>
      <c r="AC317" s="3" t="e">
        <f t="shared" si="74"/>
        <v>#DIV/0!</v>
      </c>
      <c r="AD317" s="36" t="e">
        <f t="shared" si="75"/>
        <v>#DIV/0!</v>
      </c>
      <c r="AE317" s="36" t="e">
        <f t="shared" si="95"/>
        <v>#DIV/0!</v>
      </c>
      <c r="AF317" s="36" t="e">
        <f t="shared" si="93"/>
        <v>#DIV/0!</v>
      </c>
      <c r="AG317" s="3" t="e">
        <f t="shared" si="94"/>
        <v>#DIV/0!</v>
      </c>
      <c r="AH317" s="36" t="e">
        <f t="shared" si="77"/>
        <v>#DIV/0!</v>
      </c>
      <c r="AI317" s="36" t="e">
        <f t="shared" si="78"/>
        <v>#DIV/0!</v>
      </c>
      <c r="AJ317" s="3" t="e">
        <f t="shared" si="79"/>
        <v>#DIV/0!</v>
      </c>
      <c r="AK317" s="36" t="e">
        <f t="shared" si="80"/>
        <v>#DIV/0!</v>
      </c>
      <c r="AL317" s="36" t="e">
        <f t="shared" si="96"/>
        <v>#DIV/0!</v>
      </c>
      <c r="AM317" s="36" t="e">
        <f t="shared" si="82"/>
        <v>#DIV/0!</v>
      </c>
      <c r="AU317"/>
    </row>
    <row r="318" spans="1:54" ht="15.95" customHeight="1">
      <c r="B318" s="41">
        <v>4.4999999999999998E-2</v>
      </c>
      <c r="C318" s="41" t="e">
        <f t="shared" si="97"/>
        <v>#DIV/0!</v>
      </c>
      <c r="D318" s="35" t="e">
        <f t="shared" si="98"/>
        <v>#DIV/0!</v>
      </c>
      <c r="E318" s="41" t="e">
        <f t="shared" si="99"/>
        <v>#DIV/0!</v>
      </c>
      <c r="F318" s="36" t="e">
        <f t="shared" si="100"/>
        <v>#DIV/0!</v>
      </c>
      <c r="G318" s="36" t="e">
        <f t="shared" si="101"/>
        <v>#DIV/0!</v>
      </c>
      <c r="H318" s="36" t="e">
        <f t="shared" si="102"/>
        <v>#DIV/0!</v>
      </c>
      <c r="W318" s="3"/>
      <c r="X318">
        <v>0.47499999999999998</v>
      </c>
      <c r="Y318" s="3" t="e">
        <f t="shared" si="91"/>
        <v>#DIV/0!</v>
      </c>
      <c r="Z318" s="36" t="e">
        <f t="shared" si="72"/>
        <v>#DIV/0!</v>
      </c>
      <c r="AA318" s="3" t="e">
        <f t="shared" si="92"/>
        <v>#DIV/0!</v>
      </c>
      <c r="AB318" s="36" t="e">
        <f t="shared" si="73"/>
        <v>#DIV/0!</v>
      </c>
      <c r="AC318" s="3" t="e">
        <f t="shared" si="74"/>
        <v>#DIV/0!</v>
      </c>
      <c r="AD318" s="36" t="e">
        <f t="shared" si="75"/>
        <v>#DIV/0!</v>
      </c>
      <c r="AE318" s="36" t="e">
        <f t="shared" si="95"/>
        <v>#DIV/0!</v>
      </c>
      <c r="AF318" s="36" t="e">
        <f t="shared" si="93"/>
        <v>#DIV/0!</v>
      </c>
      <c r="AG318" s="3" t="e">
        <f t="shared" si="94"/>
        <v>#DIV/0!</v>
      </c>
      <c r="AH318" s="36" t="e">
        <f t="shared" si="77"/>
        <v>#DIV/0!</v>
      </c>
      <c r="AI318" s="36" t="e">
        <f t="shared" si="78"/>
        <v>#DIV/0!</v>
      </c>
      <c r="AJ318" s="3" t="e">
        <f t="shared" si="79"/>
        <v>#DIV/0!</v>
      </c>
      <c r="AK318" s="36" t="e">
        <f t="shared" si="80"/>
        <v>#DIV/0!</v>
      </c>
      <c r="AL318" s="36" t="e">
        <f t="shared" si="96"/>
        <v>#DIV/0!</v>
      </c>
      <c r="AM318" s="36" t="e">
        <f t="shared" si="82"/>
        <v>#DIV/0!</v>
      </c>
      <c r="AU318"/>
    </row>
    <row r="319" spans="1:54" ht="15.95" customHeight="1">
      <c r="B319" s="41">
        <v>0.05</v>
      </c>
      <c r="C319" s="41" t="e">
        <f t="shared" si="97"/>
        <v>#DIV/0!</v>
      </c>
      <c r="D319" s="35" t="e">
        <f t="shared" si="98"/>
        <v>#DIV/0!</v>
      </c>
      <c r="E319" s="41" t="e">
        <f t="shared" si="99"/>
        <v>#DIV/0!</v>
      </c>
      <c r="F319" s="36" t="e">
        <f t="shared" si="100"/>
        <v>#DIV/0!</v>
      </c>
      <c r="G319" s="36" t="e">
        <f t="shared" si="101"/>
        <v>#DIV/0!</v>
      </c>
      <c r="H319" s="36" t="e">
        <f t="shared" si="102"/>
        <v>#DIV/0!</v>
      </c>
      <c r="W319" s="3"/>
      <c r="X319">
        <v>0.47</v>
      </c>
      <c r="Y319" s="3" t="e">
        <f t="shared" si="91"/>
        <v>#DIV/0!</v>
      </c>
      <c r="Z319" s="36" t="e">
        <f t="shared" si="72"/>
        <v>#DIV/0!</v>
      </c>
      <c r="AA319" s="3" t="e">
        <f t="shared" si="92"/>
        <v>#DIV/0!</v>
      </c>
      <c r="AB319" s="36" t="e">
        <f t="shared" si="73"/>
        <v>#DIV/0!</v>
      </c>
      <c r="AC319" s="3" t="e">
        <f t="shared" si="74"/>
        <v>#DIV/0!</v>
      </c>
      <c r="AD319" s="36" t="e">
        <f t="shared" si="75"/>
        <v>#DIV/0!</v>
      </c>
      <c r="AE319" s="36" t="e">
        <f t="shared" si="95"/>
        <v>#DIV/0!</v>
      </c>
      <c r="AF319" s="36" t="e">
        <f t="shared" si="93"/>
        <v>#DIV/0!</v>
      </c>
      <c r="AG319" s="3" t="e">
        <f t="shared" si="94"/>
        <v>#DIV/0!</v>
      </c>
      <c r="AH319" s="36" t="e">
        <f t="shared" si="77"/>
        <v>#DIV/0!</v>
      </c>
      <c r="AI319" s="36" t="e">
        <f t="shared" si="78"/>
        <v>#DIV/0!</v>
      </c>
      <c r="AJ319" s="3" t="e">
        <f t="shared" si="79"/>
        <v>#DIV/0!</v>
      </c>
      <c r="AK319" s="36" t="e">
        <f t="shared" si="80"/>
        <v>#DIV/0!</v>
      </c>
      <c r="AL319" s="36" t="e">
        <f t="shared" si="96"/>
        <v>#DIV/0!</v>
      </c>
      <c r="AM319" s="36" t="e">
        <f t="shared" si="82"/>
        <v>#DIV/0!</v>
      </c>
      <c r="AU319"/>
    </row>
    <row r="320" spans="1:54" ht="15.95" customHeight="1">
      <c r="B320" s="41">
        <v>5.5E-2</v>
      </c>
      <c r="C320" s="41" t="e">
        <f t="shared" si="97"/>
        <v>#DIV/0!</v>
      </c>
      <c r="D320" s="35" t="e">
        <f t="shared" si="98"/>
        <v>#DIV/0!</v>
      </c>
      <c r="E320" s="41" t="e">
        <f t="shared" si="99"/>
        <v>#DIV/0!</v>
      </c>
      <c r="F320" s="36" t="e">
        <f t="shared" si="100"/>
        <v>#DIV/0!</v>
      </c>
      <c r="G320" s="36" t="e">
        <f t="shared" si="101"/>
        <v>#DIV/0!</v>
      </c>
      <c r="H320" s="36" t="e">
        <f t="shared" si="102"/>
        <v>#DIV/0!</v>
      </c>
      <c r="W320" s="3"/>
      <c r="X320">
        <v>0.46500000000000002</v>
      </c>
      <c r="Y320" s="3" t="e">
        <f t="shared" si="91"/>
        <v>#DIV/0!</v>
      </c>
      <c r="Z320" s="36" t="e">
        <f t="shared" si="72"/>
        <v>#DIV/0!</v>
      </c>
      <c r="AA320" s="3" t="e">
        <f t="shared" si="92"/>
        <v>#DIV/0!</v>
      </c>
      <c r="AB320" s="36" t="e">
        <f t="shared" si="73"/>
        <v>#DIV/0!</v>
      </c>
      <c r="AC320" s="3" t="e">
        <f t="shared" si="74"/>
        <v>#DIV/0!</v>
      </c>
      <c r="AD320" s="36" t="e">
        <f t="shared" si="75"/>
        <v>#DIV/0!</v>
      </c>
      <c r="AE320" s="36" t="e">
        <f t="shared" si="95"/>
        <v>#DIV/0!</v>
      </c>
      <c r="AF320" s="36" t="e">
        <f t="shared" si="93"/>
        <v>#DIV/0!</v>
      </c>
      <c r="AG320" s="3" t="e">
        <f t="shared" si="94"/>
        <v>#DIV/0!</v>
      </c>
      <c r="AH320" s="36" t="e">
        <f t="shared" si="77"/>
        <v>#DIV/0!</v>
      </c>
      <c r="AI320" s="36" t="e">
        <f t="shared" si="78"/>
        <v>#DIV/0!</v>
      </c>
      <c r="AJ320" s="3" t="e">
        <f t="shared" si="79"/>
        <v>#DIV/0!</v>
      </c>
      <c r="AK320" s="36" t="e">
        <f t="shared" si="80"/>
        <v>#DIV/0!</v>
      </c>
      <c r="AL320" s="36" t="e">
        <f t="shared" si="96"/>
        <v>#DIV/0!</v>
      </c>
      <c r="AM320" s="36" t="e">
        <f t="shared" si="82"/>
        <v>#DIV/0!</v>
      </c>
      <c r="AU320"/>
    </row>
    <row r="321" spans="2:47" ht="15.95" customHeight="1">
      <c r="B321" s="41">
        <v>0.06</v>
      </c>
      <c r="C321" s="41" t="e">
        <f t="shared" si="97"/>
        <v>#DIV/0!</v>
      </c>
      <c r="D321" s="35" t="e">
        <f t="shared" si="98"/>
        <v>#DIV/0!</v>
      </c>
      <c r="E321" s="41" t="e">
        <f t="shared" si="99"/>
        <v>#DIV/0!</v>
      </c>
      <c r="F321" s="36" t="e">
        <f t="shared" si="100"/>
        <v>#DIV/0!</v>
      </c>
      <c r="G321" s="36" t="e">
        <f t="shared" si="101"/>
        <v>#DIV/0!</v>
      </c>
      <c r="H321" s="36" t="e">
        <f t="shared" si="102"/>
        <v>#DIV/0!</v>
      </c>
      <c r="W321" s="3"/>
      <c r="X321">
        <v>0.46</v>
      </c>
      <c r="Y321" s="3" t="e">
        <f t="shared" si="91"/>
        <v>#DIV/0!</v>
      </c>
      <c r="Z321" s="36" t="e">
        <f t="shared" si="72"/>
        <v>#DIV/0!</v>
      </c>
      <c r="AA321" s="3" t="e">
        <f t="shared" si="92"/>
        <v>#DIV/0!</v>
      </c>
      <c r="AB321" s="36" t="e">
        <f t="shared" si="73"/>
        <v>#DIV/0!</v>
      </c>
      <c r="AC321" s="3" t="e">
        <f t="shared" si="74"/>
        <v>#DIV/0!</v>
      </c>
      <c r="AD321" s="36" t="e">
        <f t="shared" si="75"/>
        <v>#DIV/0!</v>
      </c>
      <c r="AE321" s="36" t="e">
        <f t="shared" si="95"/>
        <v>#DIV/0!</v>
      </c>
      <c r="AF321" s="36" t="e">
        <f t="shared" si="93"/>
        <v>#DIV/0!</v>
      </c>
      <c r="AG321" s="3" t="e">
        <f t="shared" si="94"/>
        <v>#DIV/0!</v>
      </c>
      <c r="AH321" s="36" t="e">
        <f t="shared" si="77"/>
        <v>#DIV/0!</v>
      </c>
      <c r="AI321" s="36" t="e">
        <f t="shared" si="78"/>
        <v>#DIV/0!</v>
      </c>
      <c r="AJ321" s="3" t="e">
        <f t="shared" si="79"/>
        <v>#DIV/0!</v>
      </c>
      <c r="AK321" s="36" t="e">
        <f t="shared" si="80"/>
        <v>#DIV/0!</v>
      </c>
      <c r="AL321" s="36" t="e">
        <f t="shared" si="96"/>
        <v>#DIV/0!</v>
      </c>
      <c r="AM321" s="36" t="e">
        <f t="shared" si="82"/>
        <v>#DIV/0!</v>
      </c>
      <c r="AU321"/>
    </row>
    <row r="322" spans="2:47" ht="15.95" customHeight="1">
      <c r="B322" s="41">
        <v>6.5000000000000002E-2</v>
      </c>
      <c r="C322" s="41" t="e">
        <f t="shared" si="97"/>
        <v>#DIV/0!</v>
      </c>
      <c r="D322" s="35" t="e">
        <f t="shared" si="98"/>
        <v>#DIV/0!</v>
      </c>
      <c r="E322" s="41" t="e">
        <f t="shared" si="99"/>
        <v>#DIV/0!</v>
      </c>
      <c r="F322" s="36" t="e">
        <f t="shared" si="100"/>
        <v>#DIV/0!</v>
      </c>
      <c r="G322" s="36" t="e">
        <f t="shared" si="101"/>
        <v>#DIV/0!</v>
      </c>
      <c r="H322" s="36" t="e">
        <f t="shared" si="102"/>
        <v>#DIV/0!</v>
      </c>
      <c r="W322" s="3"/>
      <c r="X322">
        <v>0.45500000000000002</v>
      </c>
      <c r="Y322" s="3" t="e">
        <f t="shared" si="91"/>
        <v>#DIV/0!</v>
      </c>
      <c r="Z322" s="36" t="e">
        <f t="shared" si="72"/>
        <v>#DIV/0!</v>
      </c>
      <c r="AA322" s="3" t="e">
        <f t="shared" si="92"/>
        <v>#DIV/0!</v>
      </c>
      <c r="AB322" s="36" t="e">
        <f t="shared" si="73"/>
        <v>#DIV/0!</v>
      </c>
      <c r="AC322" s="3" t="e">
        <f t="shared" si="74"/>
        <v>#DIV/0!</v>
      </c>
      <c r="AD322" s="36" t="e">
        <f t="shared" si="75"/>
        <v>#DIV/0!</v>
      </c>
      <c r="AE322" s="36" t="e">
        <f t="shared" si="95"/>
        <v>#DIV/0!</v>
      </c>
      <c r="AF322" s="36" t="e">
        <f t="shared" si="93"/>
        <v>#DIV/0!</v>
      </c>
      <c r="AG322" s="3" t="e">
        <f t="shared" si="94"/>
        <v>#DIV/0!</v>
      </c>
      <c r="AH322" s="36" t="e">
        <f t="shared" si="77"/>
        <v>#DIV/0!</v>
      </c>
      <c r="AI322" s="36" t="e">
        <f t="shared" si="78"/>
        <v>#DIV/0!</v>
      </c>
      <c r="AJ322" s="3" t="e">
        <f t="shared" si="79"/>
        <v>#DIV/0!</v>
      </c>
      <c r="AK322" s="36" t="e">
        <f t="shared" si="80"/>
        <v>#DIV/0!</v>
      </c>
      <c r="AL322" s="36" t="e">
        <f t="shared" si="96"/>
        <v>#DIV/0!</v>
      </c>
      <c r="AM322" s="36" t="e">
        <f t="shared" si="82"/>
        <v>#DIV/0!</v>
      </c>
      <c r="AU322"/>
    </row>
    <row r="323" spans="2:47" ht="15.95" customHeight="1">
      <c r="B323" s="41">
        <v>7.0000000000000007E-2</v>
      </c>
      <c r="C323" s="41" t="e">
        <f t="shared" si="97"/>
        <v>#DIV/0!</v>
      </c>
      <c r="D323" s="35" t="e">
        <f t="shared" si="98"/>
        <v>#DIV/0!</v>
      </c>
      <c r="E323" s="41" t="e">
        <f t="shared" si="99"/>
        <v>#DIV/0!</v>
      </c>
      <c r="F323" s="36" t="e">
        <f t="shared" si="100"/>
        <v>#DIV/0!</v>
      </c>
      <c r="G323" s="36" t="e">
        <f t="shared" si="101"/>
        <v>#DIV/0!</v>
      </c>
      <c r="H323" s="36" t="e">
        <f t="shared" si="102"/>
        <v>#DIV/0!</v>
      </c>
      <c r="W323" s="3"/>
      <c r="X323">
        <v>0.45</v>
      </c>
      <c r="Y323" s="3" t="e">
        <f t="shared" si="91"/>
        <v>#DIV/0!</v>
      </c>
      <c r="Z323" s="36" t="e">
        <f t="shared" si="72"/>
        <v>#DIV/0!</v>
      </c>
      <c r="AA323" s="3" t="e">
        <f t="shared" si="92"/>
        <v>#DIV/0!</v>
      </c>
      <c r="AB323" s="36" t="e">
        <f t="shared" si="73"/>
        <v>#DIV/0!</v>
      </c>
      <c r="AC323" s="3" t="e">
        <f t="shared" si="74"/>
        <v>#DIV/0!</v>
      </c>
      <c r="AD323" s="36" t="e">
        <f t="shared" si="75"/>
        <v>#DIV/0!</v>
      </c>
      <c r="AE323" s="36" t="e">
        <f t="shared" si="95"/>
        <v>#DIV/0!</v>
      </c>
      <c r="AF323" s="36" t="e">
        <f t="shared" si="93"/>
        <v>#DIV/0!</v>
      </c>
      <c r="AG323" s="3" t="e">
        <f t="shared" si="94"/>
        <v>#DIV/0!</v>
      </c>
      <c r="AH323" s="36" t="e">
        <f t="shared" si="77"/>
        <v>#DIV/0!</v>
      </c>
      <c r="AI323" s="36" t="e">
        <f t="shared" si="78"/>
        <v>#DIV/0!</v>
      </c>
      <c r="AJ323" s="3" t="e">
        <f t="shared" si="79"/>
        <v>#DIV/0!</v>
      </c>
      <c r="AK323" s="36" t="e">
        <f t="shared" si="80"/>
        <v>#DIV/0!</v>
      </c>
      <c r="AL323" s="36" t="e">
        <f t="shared" si="96"/>
        <v>#DIV/0!</v>
      </c>
      <c r="AM323" s="36" t="e">
        <f t="shared" si="82"/>
        <v>#DIV/0!</v>
      </c>
      <c r="AU323"/>
    </row>
    <row r="324" spans="2:47" ht="15.95" customHeight="1">
      <c r="B324" s="41">
        <v>7.4999999999999997E-2</v>
      </c>
      <c r="C324" s="41" t="e">
        <f t="shared" si="97"/>
        <v>#DIV/0!</v>
      </c>
      <c r="D324" s="35" t="e">
        <f t="shared" si="98"/>
        <v>#DIV/0!</v>
      </c>
      <c r="E324" s="41" t="e">
        <f t="shared" si="99"/>
        <v>#DIV/0!</v>
      </c>
      <c r="F324" s="36" t="e">
        <f t="shared" si="100"/>
        <v>#DIV/0!</v>
      </c>
      <c r="G324" s="36" t="e">
        <f t="shared" si="101"/>
        <v>#DIV/0!</v>
      </c>
      <c r="H324" s="36" t="e">
        <f t="shared" si="102"/>
        <v>#DIV/0!</v>
      </c>
      <c r="W324" s="3"/>
      <c r="X324">
        <v>0.44500000000000001</v>
      </c>
      <c r="Y324" s="3" t="e">
        <f t="shared" si="91"/>
        <v>#DIV/0!</v>
      </c>
      <c r="Z324" s="36" t="e">
        <f t="shared" si="72"/>
        <v>#DIV/0!</v>
      </c>
      <c r="AA324" s="3" t="e">
        <f t="shared" si="92"/>
        <v>#DIV/0!</v>
      </c>
      <c r="AB324" s="36" t="e">
        <f t="shared" si="73"/>
        <v>#DIV/0!</v>
      </c>
      <c r="AC324" s="3" t="e">
        <f t="shared" si="74"/>
        <v>#DIV/0!</v>
      </c>
      <c r="AD324" s="36" t="e">
        <f t="shared" si="75"/>
        <v>#DIV/0!</v>
      </c>
      <c r="AE324" s="36" t="e">
        <f t="shared" si="95"/>
        <v>#DIV/0!</v>
      </c>
      <c r="AF324" s="36" t="e">
        <f t="shared" si="93"/>
        <v>#DIV/0!</v>
      </c>
      <c r="AG324" s="3" t="e">
        <f t="shared" si="94"/>
        <v>#DIV/0!</v>
      </c>
      <c r="AH324" s="36" t="e">
        <f t="shared" si="77"/>
        <v>#DIV/0!</v>
      </c>
      <c r="AI324" s="36" t="e">
        <f t="shared" si="78"/>
        <v>#DIV/0!</v>
      </c>
      <c r="AJ324" s="3" t="e">
        <f t="shared" si="79"/>
        <v>#DIV/0!</v>
      </c>
      <c r="AK324" s="36" t="e">
        <f t="shared" si="80"/>
        <v>#DIV/0!</v>
      </c>
      <c r="AL324" s="36" t="e">
        <f t="shared" si="96"/>
        <v>#DIV/0!</v>
      </c>
      <c r="AM324" s="36" t="e">
        <f t="shared" si="82"/>
        <v>#DIV/0!</v>
      </c>
      <c r="AU324"/>
    </row>
    <row r="325" spans="2:47" ht="15.95" customHeight="1">
      <c r="B325" s="41">
        <v>0.08</v>
      </c>
      <c r="C325" s="41" t="e">
        <f t="shared" si="97"/>
        <v>#DIV/0!</v>
      </c>
      <c r="D325" s="35" t="e">
        <f t="shared" si="98"/>
        <v>#DIV/0!</v>
      </c>
      <c r="E325" s="41" t="e">
        <f t="shared" si="99"/>
        <v>#DIV/0!</v>
      </c>
      <c r="F325" s="36" t="e">
        <f t="shared" si="100"/>
        <v>#DIV/0!</v>
      </c>
      <c r="G325" s="36" t="e">
        <f t="shared" si="101"/>
        <v>#DIV/0!</v>
      </c>
      <c r="H325" s="36" t="e">
        <f t="shared" si="102"/>
        <v>#DIV/0!</v>
      </c>
      <c r="W325" s="3"/>
      <c r="X325">
        <v>0.44</v>
      </c>
      <c r="Y325" s="3" t="e">
        <f t="shared" si="91"/>
        <v>#DIV/0!</v>
      </c>
      <c r="Z325" s="36" t="e">
        <f t="shared" si="72"/>
        <v>#DIV/0!</v>
      </c>
      <c r="AA325" s="3" t="e">
        <f t="shared" si="92"/>
        <v>#DIV/0!</v>
      </c>
      <c r="AB325" s="36" t="e">
        <f t="shared" si="73"/>
        <v>#DIV/0!</v>
      </c>
      <c r="AC325" s="3" t="e">
        <f t="shared" si="74"/>
        <v>#DIV/0!</v>
      </c>
      <c r="AD325" s="36" t="e">
        <f t="shared" si="75"/>
        <v>#DIV/0!</v>
      </c>
      <c r="AE325" s="36" t="e">
        <f t="shared" si="95"/>
        <v>#DIV/0!</v>
      </c>
      <c r="AF325" s="36" t="e">
        <f t="shared" si="93"/>
        <v>#DIV/0!</v>
      </c>
      <c r="AG325" s="3" t="e">
        <f t="shared" si="94"/>
        <v>#DIV/0!</v>
      </c>
      <c r="AH325" s="36" t="e">
        <f t="shared" si="77"/>
        <v>#DIV/0!</v>
      </c>
      <c r="AI325" s="36" t="e">
        <f t="shared" si="78"/>
        <v>#DIV/0!</v>
      </c>
      <c r="AJ325" s="3" t="e">
        <f t="shared" si="79"/>
        <v>#DIV/0!</v>
      </c>
      <c r="AK325" s="36" t="e">
        <f t="shared" si="80"/>
        <v>#DIV/0!</v>
      </c>
      <c r="AL325" s="36" t="e">
        <f t="shared" si="96"/>
        <v>#DIV/0!</v>
      </c>
      <c r="AM325" s="36" t="e">
        <f t="shared" si="82"/>
        <v>#DIV/0!</v>
      </c>
      <c r="AU325"/>
    </row>
    <row r="326" spans="2:47" ht="15.95" customHeight="1">
      <c r="B326" s="41">
        <v>8.5000000000000006E-2</v>
      </c>
      <c r="C326" s="41" t="e">
        <f t="shared" si="97"/>
        <v>#DIV/0!</v>
      </c>
      <c r="D326" s="35" t="e">
        <f t="shared" si="98"/>
        <v>#DIV/0!</v>
      </c>
      <c r="E326" s="41" t="e">
        <f t="shared" si="99"/>
        <v>#DIV/0!</v>
      </c>
      <c r="F326" s="36" t="e">
        <f t="shared" si="100"/>
        <v>#DIV/0!</v>
      </c>
      <c r="G326" s="36" t="e">
        <f t="shared" si="101"/>
        <v>#DIV/0!</v>
      </c>
      <c r="H326" s="36" t="e">
        <f t="shared" si="102"/>
        <v>#DIV/0!</v>
      </c>
      <c r="W326" s="3"/>
      <c r="X326">
        <v>0.434999999999999</v>
      </c>
      <c r="Y326" s="3" t="e">
        <f t="shared" si="91"/>
        <v>#DIV/0!</v>
      </c>
      <c r="Z326" s="36" t="e">
        <f t="shared" si="72"/>
        <v>#DIV/0!</v>
      </c>
      <c r="AA326" s="3" t="e">
        <f t="shared" si="92"/>
        <v>#DIV/0!</v>
      </c>
      <c r="AB326" s="36" t="e">
        <f t="shared" si="73"/>
        <v>#DIV/0!</v>
      </c>
      <c r="AC326" s="3" t="e">
        <f t="shared" si="74"/>
        <v>#DIV/0!</v>
      </c>
      <c r="AD326" s="36" t="e">
        <f t="shared" si="75"/>
        <v>#DIV/0!</v>
      </c>
      <c r="AE326" s="36" t="e">
        <f t="shared" si="95"/>
        <v>#DIV/0!</v>
      </c>
      <c r="AF326" s="36" t="e">
        <f t="shared" si="93"/>
        <v>#DIV/0!</v>
      </c>
      <c r="AG326" s="3" t="e">
        <f t="shared" si="94"/>
        <v>#DIV/0!</v>
      </c>
      <c r="AH326" s="36" t="e">
        <f t="shared" si="77"/>
        <v>#DIV/0!</v>
      </c>
      <c r="AI326" s="36" t="e">
        <f t="shared" si="78"/>
        <v>#DIV/0!</v>
      </c>
      <c r="AJ326" s="3" t="e">
        <f t="shared" si="79"/>
        <v>#DIV/0!</v>
      </c>
      <c r="AK326" s="36" t="e">
        <f t="shared" si="80"/>
        <v>#DIV/0!</v>
      </c>
      <c r="AL326" s="36" t="e">
        <f t="shared" si="96"/>
        <v>#DIV/0!</v>
      </c>
      <c r="AM326" s="36" t="e">
        <f t="shared" si="82"/>
        <v>#DIV/0!</v>
      </c>
      <c r="AU326"/>
    </row>
    <row r="327" spans="2:47" ht="15.95" customHeight="1">
      <c r="B327" s="41">
        <v>0.09</v>
      </c>
      <c r="C327" s="41" t="e">
        <f t="shared" si="97"/>
        <v>#DIV/0!</v>
      </c>
      <c r="D327" s="35" t="e">
        <f t="shared" si="98"/>
        <v>#DIV/0!</v>
      </c>
      <c r="E327" s="41" t="e">
        <f t="shared" si="99"/>
        <v>#DIV/0!</v>
      </c>
      <c r="F327" s="36" t="e">
        <f t="shared" si="100"/>
        <v>#DIV/0!</v>
      </c>
      <c r="G327" s="36" t="e">
        <f t="shared" si="101"/>
        <v>#DIV/0!</v>
      </c>
      <c r="H327" s="36" t="e">
        <f t="shared" si="102"/>
        <v>#DIV/0!</v>
      </c>
      <c r="W327" s="3"/>
      <c r="X327">
        <v>0.42999999999999899</v>
      </c>
      <c r="Y327" s="3" t="e">
        <f t="shared" si="91"/>
        <v>#DIV/0!</v>
      </c>
      <c r="Z327" s="36" t="e">
        <f t="shared" si="72"/>
        <v>#DIV/0!</v>
      </c>
      <c r="AA327" s="3" t="e">
        <f t="shared" si="92"/>
        <v>#DIV/0!</v>
      </c>
      <c r="AB327" s="36" t="e">
        <f t="shared" si="73"/>
        <v>#DIV/0!</v>
      </c>
      <c r="AC327" s="3" t="e">
        <f t="shared" si="74"/>
        <v>#DIV/0!</v>
      </c>
      <c r="AD327" s="36" t="e">
        <f t="shared" si="75"/>
        <v>#DIV/0!</v>
      </c>
      <c r="AE327" s="36" t="e">
        <f t="shared" si="95"/>
        <v>#DIV/0!</v>
      </c>
      <c r="AF327" s="36" t="e">
        <f t="shared" si="93"/>
        <v>#DIV/0!</v>
      </c>
      <c r="AG327" s="3" t="e">
        <f t="shared" si="94"/>
        <v>#DIV/0!</v>
      </c>
      <c r="AH327" s="36" t="e">
        <f t="shared" si="77"/>
        <v>#DIV/0!</v>
      </c>
      <c r="AI327" s="36" t="e">
        <f t="shared" si="78"/>
        <v>#DIV/0!</v>
      </c>
      <c r="AJ327" s="3" t="e">
        <f t="shared" si="79"/>
        <v>#DIV/0!</v>
      </c>
      <c r="AK327" s="36" t="e">
        <f t="shared" si="80"/>
        <v>#DIV/0!</v>
      </c>
      <c r="AL327" s="36" t="e">
        <f t="shared" si="96"/>
        <v>#DIV/0!</v>
      </c>
      <c r="AM327" s="36" t="e">
        <f t="shared" si="82"/>
        <v>#DIV/0!</v>
      </c>
      <c r="AU327"/>
    </row>
    <row r="328" spans="2:47" ht="15.95" customHeight="1">
      <c r="B328" s="41">
        <v>9.5000000000000001E-2</v>
      </c>
      <c r="C328" s="41" t="e">
        <f t="shared" si="97"/>
        <v>#DIV/0!</v>
      </c>
      <c r="D328" s="35" t="e">
        <f t="shared" si="98"/>
        <v>#DIV/0!</v>
      </c>
      <c r="E328" s="41" t="e">
        <f t="shared" si="99"/>
        <v>#DIV/0!</v>
      </c>
      <c r="F328" s="36" t="e">
        <f t="shared" si="100"/>
        <v>#DIV/0!</v>
      </c>
      <c r="G328" s="36" t="e">
        <f t="shared" si="101"/>
        <v>#DIV/0!</v>
      </c>
      <c r="H328" s="36" t="e">
        <f t="shared" si="102"/>
        <v>#DIV/0!</v>
      </c>
      <c r="W328" s="3"/>
      <c r="X328">
        <v>0.42499999999999899</v>
      </c>
      <c r="Y328" s="3" t="e">
        <f t="shared" si="91"/>
        <v>#DIV/0!</v>
      </c>
      <c r="Z328" s="36" t="e">
        <f t="shared" si="72"/>
        <v>#DIV/0!</v>
      </c>
      <c r="AA328" s="3" t="e">
        <f t="shared" si="92"/>
        <v>#DIV/0!</v>
      </c>
      <c r="AB328" s="36" t="e">
        <f t="shared" si="73"/>
        <v>#DIV/0!</v>
      </c>
      <c r="AC328" s="3" t="e">
        <f t="shared" si="74"/>
        <v>#DIV/0!</v>
      </c>
      <c r="AD328" s="36" t="e">
        <f t="shared" si="75"/>
        <v>#DIV/0!</v>
      </c>
      <c r="AE328" s="36" t="e">
        <f t="shared" si="95"/>
        <v>#DIV/0!</v>
      </c>
      <c r="AF328" s="36" t="e">
        <f t="shared" si="93"/>
        <v>#DIV/0!</v>
      </c>
      <c r="AG328" s="3" t="e">
        <f t="shared" si="94"/>
        <v>#DIV/0!</v>
      </c>
      <c r="AH328" s="36" t="e">
        <f t="shared" si="77"/>
        <v>#DIV/0!</v>
      </c>
      <c r="AI328" s="36" t="e">
        <f t="shared" si="78"/>
        <v>#DIV/0!</v>
      </c>
      <c r="AJ328" s="3" t="e">
        <f t="shared" si="79"/>
        <v>#DIV/0!</v>
      </c>
      <c r="AK328" s="36" t="e">
        <f t="shared" si="80"/>
        <v>#DIV/0!</v>
      </c>
      <c r="AL328" s="36" t="e">
        <f t="shared" si="96"/>
        <v>#DIV/0!</v>
      </c>
      <c r="AM328" s="36" t="e">
        <f t="shared" si="82"/>
        <v>#DIV/0!</v>
      </c>
      <c r="AU328"/>
    </row>
    <row r="329" spans="2:47" ht="15.95" customHeight="1">
      <c r="B329" s="41">
        <v>0.1</v>
      </c>
      <c r="C329" s="41" t="e">
        <f t="shared" si="97"/>
        <v>#DIV/0!</v>
      </c>
      <c r="D329" s="35" t="e">
        <f t="shared" si="98"/>
        <v>#DIV/0!</v>
      </c>
      <c r="E329" s="41" t="e">
        <f t="shared" si="99"/>
        <v>#DIV/0!</v>
      </c>
      <c r="F329" s="36" t="e">
        <f t="shared" si="100"/>
        <v>#DIV/0!</v>
      </c>
      <c r="G329" s="36" t="e">
        <f t="shared" si="101"/>
        <v>#DIV/0!</v>
      </c>
      <c r="H329" s="36" t="e">
        <f t="shared" si="102"/>
        <v>#DIV/0!</v>
      </c>
      <c r="W329" s="3"/>
      <c r="X329">
        <v>0.41999999999999899</v>
      </c>
      <c r="Y329" s="3" t="e">
        <f t="shared" si="91"/>
        <v>#DIV/0!</v>
      </c>
      <c r="Z329" s="36" t="e">
        <f t="shared" si="72"/>
        <v>#DIV/0!</v>
      </c>
      <c r="AA329" s="3" t="e">
        <f t="shared" si="92"/>
        <v>#DIV/0!</v>
      </c>
      <c r="AB329" s="36" t="e">
        <f t="shared" si="73"/>
        <v>#DIV/0!</v>
      </c>
      <c r="AC329" s="3" t="e">
        <f t="shared" si="74"/>
        <v>#DIV/0!</v>
      </c>
      <c r="AD329" s="36" t="e">
        <f t="shared" si="75"/>
        <v>#DIV/0!</v>
      </c>
      <c r="AE329" s="36" t="e">
        <f t="shared" si="95"/>
        <v>#DIV/0!</v>
      </c>
      <c r="AF329" s="36" t="e">
        <f t="shared" si="93"/>
        <v>#DIV/0!</v>
      </c>
      <c r="AG329" s="3" t="e">
        <f t="shared" si="94"/>
        <v>#DIV/0!</v>
      </c>
      <c r="AH329" s="36" t="e">
        <f t="shared" si="77"/>
        <v>#DIV/0!</v>
      </c>
      <c r="AI329" s="36" t="e">
        <f t="shared" si="78"/>
        <v>#DIV/0!</v>
      </c>
      <c r="AJ329" s="3" t="e">
        <f t="shared" si="79"/>
        <v>#DIV/0!</v>
      </c>
      <c r="AK329" s="36" t="e">
        <f t="shared" si="80"/>
        <v>#DIV/0!</v>
      </c>
      <c r="AL329" s="36" t="e">
        <f t="shared" si="96"/>
        <v>#DIV/0!</v>
      </c>
      <c r="AM329" s="36" t="e">
        <f t="shared" si="82"/>
        <v>#DIV/0!</v>
      </c>
      <c r="AU329"/>
    </row>
    <row r="330" spans="2:47" ht="15.95" customHeight="1">
      <c r="B330" s="41">
        <v>0.105</v>
      </c>
      <c r="C330" s="41" t="e">
        <f t="shared" si="97"/>
        <v>#DIV/0!</v>
      </c>
      <c r="D330" s="35" t="e">
        <f t="shared" si="98"/>
        <v>#DIV/0!</v>
      </c>
      <c r="E330" s="41" t="e">
        <f t="shared" si="99"/>
        <v>#DIV/0!</v>
      </c>
      <c r="F330" s="36" t="e">
        <f t="shared" si="100"/>
        <v>#DIV/0!</v>
      </c>
      <c r="G330" s="36" t="e">
        <f t="shared" si="101"/>
        <v>#DIV/0!</v>
      </c>
      <c r="H330" s="36" t="e">
        <f t="shared" si="102"/>
        <v>#DIV/0!</v>
      </c>
      <c r="W330" s="3"/>
      <c r="X330">
        <v>0.41499999999999898</v>
      </c>
      <c r="Y330" s="3" t="e">
        <f t="shared" si="91"/>
        <v>#DIV/0!</v>
      </c>
      <c r="Z330" s="36" t="e">
        <f t="shared" si="72"/>
        <v>#DIV/0!</v>
      </c>
      <c r="AA330" s="3" t="e">
        <f t="shared" si="92"/>
        <v>#DIV/0!</v>
      </c>
      <c r="AB330" s="36" t="e">
        <f t="shared" si="73"/>
        <v>#DIV/0!</v>
      </c>
      <c r="AC330" s="3" t="e">
        <f t="shared" si="74"/>
        <v>#DIV/0!</v>
      </c>
      <c r="AD330" s="36" t="e">
        <f t="shared" si="75"/>
        <v>#DIV/0!</v>
      </c>
      <c r="AE330" s="36" t="e">
        <f t="shared" si="95"/>
        <v>#DIV/0!</v>
      </c>
      <c r="AF330" s="36" t="e">
        <f t="shared" si="93"/>
        <v>#DIV/0!</v>
      </c>
      <c r="AG330" s="3" t="e">
        <f t="shared" si="94"/>
        <v>#DIV/0!</v>
      </c>
      <c r="AH330" s="36" t="e">
        <f t="shared" si="77"/>
        <v>#DIV/0!</v>
      </c>
      <c r="AI330" s="36" t="e">
        <f t="shared" si="78"/>
        <v>#DIV/0!</v>
      </c>
      <c r="AJ330" s="3" t="e">
        <f t="shared" si="79"/>
        <v>#DIV/0!</v>
      </c>
      <c r="AK330" s="36" t="e">
        <f t="shared" si="80"/>
        <v>#DIV/0!</v>
      </c>
      <c r="AL330" s="36" t="e">
        <f t="shared" si="96"/>
        <v>#DIV/0!</v>
      </c>
      <c r="AM330" s="36" t="e">
        <f t="shared" si="82"/>
        <v>#DIV/0!</v>
      </c>
      <c r="AU330"/>
    </row>
    <row r="331" spans="2:47" ht="15.95" customHeight="1">
      <c r="B331" s="41">
        <v>0.11</v>
      </c>
      <c r="C331" s="41" t="e">
        <f t="shared" si="97"/>
        <v>#DIV/0!</v>
      </c>
      <c r="D331" s="35" t="e">
        <f t="shared" si="98"/>
        <v>#DIV/0!</v>
      </c>
      <c r="E331" s="41" t="e">
        <f t="shared" si="99"/>
        <v>#DIV/0!</v>
      </c>
      <c r="F331" s="36" t="e">
        <f t="shared" si="100"/>
        <v>#DIV/0!</v>
      </c>
      <c r="G331" s="36" t="e">
        <f t="shared" si="101"/>
        <v>#DIV/0!</v>
      </c>
      <c r="H331" s="36" t="e">
        <f t="shared" si="102"/>
        <v>#DIV/0!</v>
      </c>
      <c r="W331" s="3"/>
      <c r="X331">
        <v>0.40999999999999898</v>
      </c>
      <c r="Y331" s="3" t="e">
        <f t="shared" si="91"/>
        <v>#DIV/0!</v>
      </c>
      <c r="Z331" s="36" t="e">
        <f t="shared" si="72"/>
        <v>#DIV/0!</v>
      </c>
      <c r="AA331" s="3" t="e">
        <f t="shared" si="92"/>
        <v>#DIV/0!</v>
      </c>
      <c r="AB331" s="36" t="e">
        <f t="shared" si="73"/>
        <v>#DIV/0!</v>
      </c>
      <c r="AC331" s="3" t="e">
        <f t="shared" si="74"/>
        <v>#DIV/0!</v>
      </c>
      <c r="AD331" s="36" t="e">
        <f t="shared" si="75"/>
        <v>#DIV/0!</v>
      </c>
      <c r="AE331" s="36" t="e">
        <f t="shared" si="95"/>
        <v>#DIV/0!</v>
      </c>
      <c r="AF331" s="36" t="e">
        <f t="shared" si="93"/>
        <v>#DIV/0!</v>
      </c>
      <c r="AG331" s="3" t="e">
        <f t="shared" si="94"/>
        <v>#DIV/0!</v>
      </c>
      <c r="AH331" s="36" t="e">
        <f t="shared" si="77"/>
        <v>#DIV/0!</v>
      </c>
      <c r="AI331" s="36" t="e">
        <f t="shared" si="78"/>
        <v>#DIV/0!</v>
      </c>
      <c r="AJ331" s="3" t="e">
        <f t="shared" si="79"/>
        <v>#DIV/0!</v>
      </c>
      <c r="AK331" s="36" t="e">
        <f t="shared" si="80"/>
        <v>#DIV/0!</v>
      </c>
      <c r="AL331" s="36" t="e">
        <f t="shared" si="96"/>
        <v>#DIV/0!</v>
      </c>
      <c r="AM331" s="36" t="e">
        <f t="shared" si="82"/>
        <v>#DIV/0!</v>
      </c>
      <c r="AU331"/>
    </row>
    <row r="332" spans="2:47" ht="15.95" customHeight="1">
      <c r="B332" s="41">
        <v>0.115</v>
      </c>
      <c r="C332" s="41" t="e">
        <f t="shared" si="97"/>
        <v>#DIV/0!</v>
      </c>
      <c r="D332" s="35" t="e">
        <f t="shared" si="98"/>
        <v>#DIV/0!</v>
      </c>
      <c r="E332" s="41" t="e">
        <f t="shared" si="99"/>
        <v>#DIV/0!</v>
      </c>
      <c r="F332" s="36" t="e">
        <f t="shared" si="100"/>
        <v>#DIV/0!</v>
      </c>
      <c r="G332" s="36" t="e">
        <f t="shared" si="101"/>
        <v>#DIV/0!</v>
      </c>
      <c r="H332" s="36" t="e">
        <f t="shared" si="102"/>
        <v>#DIV/0!</v>
      </c>
      <c r="W332" s="3"/>
      <c r="X332">
        <v>0.40499999999999903</v>
      </c>
      <c r="Y332" s="3" t="e">
        <f t="shared" si="91"/>
        <v>#DIV/0!</v>
      </c>
      <c r="Z332" s="36" t="e">
        <f t="shared" si="72"/>
        <v>#DIV/0!</v>
      </c>
      <c r="AA332" s="3" t="e">
        <f t="shared" si="92"/>
        <v>#DIV/0!</v>
      </c>
      <c r="AB332" s="36" t="e">
        <f t="shared" si="73"/>
        <v>#DIV/0!</v>
      </c>
      <c r="AC332" s="3" t="e">
        <f t="shared" si="74"/>
        <v>#DIV/0!</v>
      </c>
      <c r="AD332" s="36" t="e">
        <f t="shared" si="75"/>
        <v>#DIV/0!</v>
      </c>
      <c r="AE332" s="36" t="e">
        <f t="shared" si="95"/>
        <v>#DIV/0!</v>
      </c>
      <c r="AF332" s="36" t="e">
        <f t="shared" si="93"/>
        <v>#DIV/0!</v>
      </c>
      <c r="AG332" s="3" t="e">
        <f t="shared" si="94"/>
        <v>#DIV/0!</v>
      </c>
      <c r="AH332" s="36" t="e">
        <f t="shared" si="77"/>
        <v>#DIV/0!</v>
      </c>
      <c r="AI332" s="36" t="e">
        <f t="shared" si="78"/>
        <v>#DIV/0!</v>
      </c>
      <c r="AJ332" s="3" t="e">
        <f t="shared" si="79"/>
        <v>#DIV/0!</v>
      </c>
      <c r="AK332" s="36" t="e">
        <f t="shared" si="80"/>
        <v>#DIV/0!</v>
      </c>
      <c r="AL332" s="36" t="e">
        <f t="shared" si="96"/>
        <v>#DIV/0!</v>
      </c>
      <c r="AM332" s="36" t="e">
        <f t="shared" si="82"/>
        <v>#DIV/0!</v>
      </c>
      <c r="AU332"/>
    </row>
    <row r="333" spans="2:47" ht="15.95" customHeight="1">
      <c r="B333" s="41">
        <v>0.12</v>
      </c>
      <c r="C333" s="41" t="e">
        <f t="shared" si="97"/>
        <v>#DIV/0!</v>
      </c>
      <c r="D333" s="35" t="e">
        <f t="shared" si="98"/>
        <v>#DIV/0!</v>
      </c>
      <c r="E333" s="41" t="e">
        <f t="shared" si="99"/>
        <v>#DIV/0!</v>
      </c>
      <c r="F333" s="36" t="e">
        <f t="shared" si="100"/>
        <v>#DIV/0!</v>
      </c>
      <c r="G333" s="36" t="e">
        <f t="shared" si="101"/>
        <v>#DIV/0!</v>
      </c>
      <c r="H333" s="36" t="e">
        <f t="shared" si="102"/>
        <v>#DIV/0!</v>
      </c>
      <c r="W333" s="3"/>
      <c r="X333">
        <v>0.39999999999999902</v>
      </c>
      <c r="Y333" s="3" t="e">
        <f t="shared" si="91"/>
        <v>#DIV/0!</v>
      </c>
      <c r="Z333" s="36" t="e">
        <f t="shared" si="72"/>
        <v>#DIV/0!</v>
      </c>
      <c r="AA333" s="3" t="e">
        <f t="shared" si="92"/>
        <v>#DIV/0!</v>
      </c>
      <c r="AB333" s="36" t="e">
        <f t="shared" si="73"/>
        <v>#DIV/0!</v>
      </c>
      <c r="AC333" s="3" t="e">
        <f t="shared" si="74"/>
        <v>#DIV/0!</v>
      </c>
      <c r="AD333" s="36" t="e">
        <f t="shared" si="75"/>
        <v>#DIV/0!</v>
      </c>
      <c r="AE333" s="36" t="e">
        <f t="shared" si="95"/>
        <v>#DIV/0!</v>
      </c>
      <c r="AF333" s="36" t="e">
        <f t="shared" si="93"/>
        <v>#DIV/0!</v>
      </c>
      <c r="AG333" s="3" t="e">
        <f t="shared" si="94"/>
        <v>#DIV/0!</v>
      </c>
      <c r="AH333" s="36" t="e">
        <f t="shared" si="77"/>
        <v>#DIV/0!</v>
      </c>
      <c r="AI333" s="36" t="e">
        <f t="shared" si="78"/>
        <v>#DIV/0!</v>
      </c>
      <c r="AJ333" s="3" t="e">
        <f t="shared" si="79"/>
        <v>#DIV/0!</v>
      </c>
      <c r="AK333" s="36" t="e">
        <f t="shared" si="80"/>
        <v>#DIV/0!</v>
      </c>
      <c r="AL333" s="36" t="e">
        <f t="shared" si="96"/>
        <v>#DIV/0!</v>
      </c>
      <c r="AM333" s="36" t="e">
        <f t="shared" si="82"/>
        <v>#DIV/0!</v>
      </c>
      <c r="AU333"/>
    </row>
    <row r="334" spans="2:47" ht="15.95" customHeight="1">
      <c r="B334" s="41">
        <v>0.125</v>
      </c>
      <c r="C334" s="41" t="e">
        <f t="shared" si="97"/>
        <v>#DIV/0!</v>
      </c>
      <c r="D334" s="35" t="e">
        <f t="shared" si="98"/>
        <v>#DIV/0!</v>
      </c>
      <c r="E334" s="41" t="e">
        <f t="shared" si="99"/>
        <v>#DIV/0!</v>
      </c>
      <c r="F334" s="36" t="e">
        <f t="shared" si="100"/>
        <v>#DIV/0!</v>
      </c>
      <c r="G334" s="36" t="e">
        <f t="shared" si="101"/>
        <v>#DIV/0!</v>
      </c>
      <c r="H334" s="36" t="e">
        <f t="shared" si="102"/>
        <v>#DIV/0!</v>
      </c>
      <c r="W334" s="3"/>
      <c r="X334">
        <v>0.39499999999999902</v>
      </c>
      <c r="Y334" s="3" t="e">
        <f t="shared" si="91"/>
        <v>#DIV/0!</v>
      </c>
      <c r="Z334" s="36" t="e">
        <f t="shared" si="72"/>
        <v>#DIV/0!</v>
      </c>
      <c r="AA334" s="3" t="e">
        <f t="shared" si="92"/>
        <v>#DIV/0!</v>
      </c>
      <c r="AB334" s="36" t="e">
        <f t="shared" si="73"/>
        <v>#DIV/0!</v>
      </c>
      <c r="AC334" s="3" t="e">
        <f t="shared" si="74"/>
        <v>#DIV/0!</v>
      </c>
      <c r="AD334" s="36" t="e">
        <f t="shared" si="75"/>
        <v>#DIV/0!</v>
      </c>
      <c r="AE334" s="36" t="e">
        <f t="shared" si="95"/>
        <v>#DIV/0!</v>
      </c>
      <c r="AF334" s="36" t="e">
        <f t="shared" si="93"/>
        <v>#DIV/0!</v>
      </c>
      <c r="AG334" s="3" t="e">
        <f t="shared" si="94"/>
        <v>#DIV/0!</v>
      </c>
      <c r="AH334" s="36" t="e">
        <f t="shared" si="77"/>
        <v>#DIV/0!</v>
      </c>
      <c r="AI334" s="36" t="e">
        <f t="shared" si="78"/>
        <v>#DIV/0!</v>
      </c>
      <c r="AJ334" s="3" t="e">
        <f t="shared" si="79"/>
        <v>#DIV/0!</v>
      </c>
      <c r="AK334" s="36" t="e">
        <f t="shared" si="80"/>
        <v>#DIV/0!</v>
      </c>
      <c r="AL334" s="36" t="e">
        <f t="shared" si="96"/>
        <v>#DIV/0!</v>
      </c>
      <c r="AM334" s="36" t="e">
        <f t="shared" si="82"/>
        <v>#DIV/0!</v>
      </c>
      <c r="AU334"/>
    </row>
    <row r="335" spans="2:47" ht="15.95" customHeight="1">
      <c r="B335" s="41">
        <v>0.13</v>
      </c>
      <c r="C335" s="41" t="e">
        <f t="shared" si="97"/>
        <v>#DIV/0!</v>
      </c>
      <c r="D335" s="35" t="e">
        <f t="shared" si="98"/>
        <v>#DIV/0!</v>
      </c>
      <c r="E335" s="41" t="e">
        <f t="shared" si="99"/>
        <v>#DIV/0!</v>
      </c>
      <c r="F335" s="36" t="e">
        <f t="shared" si="100"/>
        <v>#DIV/0!</v>
      </c>
      <c r="G335" s="36" t="e">
        <f t="shared" si="101"/>
        <v>#DIV/0!</v>
      </c>
      <c r="H335" s="36" t="e">
        <f t="shared" si="102"/>
        <v>#DIV/0!</v>
      </c>
      <c r="W335" s="3"/>
      <c r="X335">
        <v>0.38999999999999901</v>
      </c>
      <c r="Y335" s="3" t="e">
        <f t="shared" si="91"/>
        <v>#DIV/0!</v>
      </c>
      <c r="Z335" s="36" t="e">
        <f t="shared" si="72"/>
        <v>#DIV/0!</v>
      </c>
      <c r="AA335" s="3" t="e">
        <f t="shared" si="92"/>
        <v>#DIV/0!</v>
      </c>
      <c r="AB335" s="36" t="e">
        <f t="shared" si="73"/>
        <v>#DIV/0!</v>
      </c>
      <c r="AC335" s="3" t="e">
        <f t="shared" si="74"/>
        <v>#DIV/0!</v>
      </c>
      <c r="AD335" s="36" t="e">
        <f t="shared" si="75"/>
        <v>#DIV/0!</v>
      </c>
      <c r="AE335" s="36" t="e">
        <f t="shared" si="95"/>
        <v>#DIV/0!</v>
      </c>
      <c r="AF335" s="36" t="e">
        <f t="shared" si="93"/>
        <v>#DIV/0!</v>
      </c>
      <c r="AG335" s="3" t="e">
        <f t="shared" si="94"/>
        <v>#DIV/0!</v>
      </c>
      <c r="AH335" s="36" t="e">
        <f t="shared" si="77"/>
        <v>#DIV/0!</v>
      </c>
      <c r="AI335" s="36" t="e">
        <f t="shared" si="78"/>
        <v>#DIV/0!</v>
      </c>
      <c r="AJ335" s="3" t="e">
        <f t="shared" si="79"/>
        <v>#DIV/0!</v>
      </c>
      <c r="AK335" s="36" t="e">
        <f t="shared" si="80"/>
        <v>#DIV/0!</v>
      </c>
      <c r="AL335" s="36" t="e">
        <f t="shared" si="96"/>
        <v>#DIV/0!</v>
      </c>
      <c r="AM335" s="36" t="e">
        <f t="shared" si="82"/>
        <v>#DIV/0!</v>
      </c>
      <c r="AU335"/>
    </row>
    <row r="336" spans="2:47" ht="15.95" customHeight="1">
      <c r="B336" s="41">
        <v>0.13500000000000001</v>
      </c>
      <c r="C336" s="41" t="e">
        <f t="shared" si="97"/>
        <v>#DIV/0!</v>
      </c>
      <c r="D336" s="35" t="e">
        <f t="shared" si="98"/>
        <v>#DIV/0!</v>
      </c>
      <c r="E336" s="41" t="e">
        <f t="shared" si="99"/>
        <v>#DIV/0!</v>
      </c>
      <c r="F336" s="36" t="e">
        <f t="shared" si="100"/>
        <v>#DIV/0!</v>
      </c>
      <c r="G336" s="36" t="e">
        <f t="shared" si="101"/>
        <v>#DIV/0!</v>
      </c>
      <c r="H336" s="36" t="e">
        <f t="shared" si="102"/>
        <v>#DIV/0!</v>
      </c>
      <c r="W336" s="3"/>
      <c r="X336">
        <v>0.38499999999999901</v>
      </c>
      <c r="Y336" s="3" t="e">
        <f t="shared" si="91"/>
        <v>#DIV/0!</v>
      </c>
      <c r="Z336" s="36" t="e">
        <f t="shared" si="72"/>
        <v>#DIV/0!</v>
      </c>
      <c r="AA336" s="3" t="e">
        <f t="shared" si="92"/>
        <v>#DIV/0!</v>
      </c>
      <c r="AB336" s="36" t="e">
        <f t="shared" si="73"/>
        <v>#DIV/0!</v>
      </c>
      <c r="AC336" s="3" t="e">
        <f t="shared" si="74"/>
        <v>#DIV/0!</v>
      </c>
      <c r="AD336" s="36" t="e">
        <f t="shared" si="75"/>
        <v>#DIV/0!</v>
      </c>
      <c r="AE336" s="36" t="e">
        <f t="shared" si="95"/>
        <v>#DIV/0!</v>
      </c>
      <c r="AF336" s="36" t="e">
        <f t="shared" si="93"/>
        <v>#DIV/0!</v>
      </c>
      <c r="AG336" s="3" t="e">
        <f t="shared" si="94"/>
        <v>#DIV/0!</v>
      </c>
      <c r="AH336" s="36" t="e">
        <f t="shared" si="77"/>
        <v>#DIV/0!</v>
      </c>
      <c r="AI336" s="36" t="e">
        <f t="shared" si="78"/>
        <v>#DIV/0!</v>
      </c>
      <c r="AJ336" s="3" t="e">
        <f t="shared" si="79"/>
        <v>#DIV/0!</v>
      </c>
      <c r="AK336" s="36" t="e">
        <f t="shared" si="80"/>
        <v>#DIV/0!</v>
      </c>
      <c r="AL336" s="36" t="e">
        <f t="shared" si="96"/>
        <v>#DIV/0!</v>
      </c>
      <c r="AM336" s="36" t="e">
        <f t="shared" si="82"/>
        <v>#DIV/0!</v>
      </c>
      <c r="AU336"/>
    </row>
    <row r="337" spans="2:47" ht="15.95" customHeight="1">
      <c r="B337" s="41">
        <v>0.14000000000000001</v>
      </c>
      <c r="C337" s="41" t="e">
        <f t="shared" si="97"/>
        <v>#DIV/0!</v>
      </c>
      <c r="D337" s="35" t="e">
        <f t="shared" si="98"/>
        <v>#DIV/0!</v>
      </c>
      <c r="E337" s="41" t="e">
        <f t="shared" si="99"/>
        <v>#DIV/0!</v>
      </c>
      <c r="F337" s="36" t="e">
        <f t="shared" si="100"/>
        <v>#DIV/0!</v>
      </c>
      <c r="G337" s="36" t="e">
        <f t="shared" si="101"/>
        <v>#DIV/0!</v>
      </c>
      <c r="H337" s="36" t="e">
        <f t="shared" si="102"/>
        <v>#DIV/0!</v>
      </c>
      <c r="W337" s="3"/>
      <c r="X337">
        <v>0.37999999999999901</v>
      </c>
      <c r="Y337" s="3" t="e">
        <f t="shared" si="91"/>
        <v>#DIV/0!</v>
      </c>
      <c r="Z337" s="36" t="e">
        <f t="shared" si="72"/>
        <v>#DIV/0!</v>
      </c>
      <c r="AA337" s="3" t="e">
        <f t="shared" si="92"/>
        <v>#DIV/0!</v>
      </c>
      <c r="AB337" s="36" t="e">
        <f t="shared" si="73"/>
        <v>#DIV/0!</v>
      </c>
      <c r="AC337" s="3" t="e">
        <f t="shared" si="74"/>
        <v>#DIV/0!</v>
      </c>
      <c r="AD337" s="36" t="e">
        <f t="shared" si="75"/>
        <v>#DIV/0!</v>
      </c>
      <c r="AE337" s="36" t="e">
        <f t="shared" si="95"/>
        <v>#DIV/0!</v>
      </c>
      <c r="AF337" s="36" t="e">
        <f t="shared" si="93"/>
        <v>#DIV/0!</v>
      </c>
      <c r="AG337" s="3" t="e">
        <f t="shared" si="94"/>
        <v>#DIV/0!</v>
      </c>
      <c r="AH337" s="36" t="e">
        <f t="shared" si="77"/>
        <v>#DIV/0!</v>
      </c>
      <c r="AI337" s="36" t="e">
        <f t="shared" si="78"/>
        <v>#DIV/0!</v>
      </c>
      <c r="AJ337" s="3" t="e">
        <f t="shared" si="79"/>
        <v>#DIV/0!</v>
      </c>
      <c r="AK337" s="36" t="e">
        <f t="shared" si="80"/>
        <v>#DIV/0!</v>
      </c>
      <c r="AL337" s="36" t="e">
        <f t="shared" si="96"/>
        <v>#DIV/0!</v>
      </c>
      <c r="AM337" s="36" t="e">
        <f t="shared" si="82"/>
        <v>#DIV/0!</v>
      </c>
      <c r="AU337"/>
    </row>
    <row r="338" spans="2:47" ht="15.95" customHeight="1">
      <c r="B338" s="41">
        <v>0.14499999999999999</v>
      </c>
      <c r="C338" s="41" t="e">
        <f t="shared" si="97"/>
        <v>#DIV/0!</v>
      </c>
      <c r="D338" s="35" t="e">
        <f t="shared" si="98"/>
        <v>#DIV/0!</v>
      </c>
      <c r="E338" s="41" t="e">
        <f t="shared" si="99"/>
        <v>#DIV/0!</v>
      </c>
      <c r="F338" s="36" t="e">
        <f t="shared" si="100"/>
        <v>#DIV/0!</v>
      </c>
      <c r="G338" s="36" t="e">
        <f t="shared" si="101"/>
        <v>#DIV/0!</v>
      </c>
      <c r="H338" s="36" t="e">
        <f t="shared" si="102"/>
        <v>#DIV/0!</v>
      </c>
      <c r="W338" s="3"/>
      <c r="X338">
        <v>0.374999999999999</v>
      </c>
      <c r="Y338" s="3" t="e">
        <f t="shared" si="91"/>
        <v>#DIV/0!</v>
      </c>
      <c r="Z338" s="36" t="e">
        <f t="shared" si="72"/>
        <v>#DIV/0!</v>
      </c>
      <c r="AA338" s="3" t="e">
        <f t="shared" si="92"/>
        <v>#DIV/0!</v>
      </c>
      <c r="AB338" s="36" t="e">
        <f t="shared" si="73"/>
        <v>#DIV/0!</v>
      </c>
      <c r="AC338" s="3" t="e">
        <f t="shared" si="74"/>
        <v>#DIV/0!</v>
      </c>
      <c r="AD338" s="36" t="e">
        <f t="shared" si="75"/>
        <v>#DIV/0!</v>
      </c>
      <c r="AE338" s="36" t="e">
        <f t="shared" si="95"/>
        <v>#DIV/0!</v>
      </c>
      <c r="AF338" s="36" t="e">
        <f t="shared" si="93"/>
        <v>#DIV/0!</v>
      </c>
      <c r="AG338" s="3" t="e">
        <f t="shared" si="94"/>
        <v>#DIV/0!</v>
      </c>
      <c r="AH338" s="36" t="e">
        <f t="shared" si="77"/>
        <v>#DIV/0!</v>
      </c>
      <c r="AI338" s="36" t="e">
        <f t="shared" si="78"/>
        <v>#DIV/0!</v>
      </c>
      <c r="AJ338" s="3" t="e">
        <f t="shared" si="79"/>
        <v>#DIV/0!</v>
      </c>
      <c r="AK338" s="36" t="e">
        <f t="shared" si="80"/>
        <v>#DIV/0!</v>
      </c>
      <c r="AL338" s="36" t="e">
        <f t="shared" si="96"/>
        <v>#DIV/0!</v>
      </c>
      <c r="AM338" s="36" t="e">
        <f t="shared" si="82"/>
        <v>#DIV/0!</v>
      </c>
      <c r="AU338"/>
    </row>
    <row r="339" spans="2:47" ht="15.95" customHeight="1">
      <c r="B339" s="41">
        <v>0.15</v>
      </c>
      <c r="C339" s="41" t="e">
        <f t="shared" si="97"/>
        <v>#DIV/0!</v>
      </c>
      <c r="D339" s="35" t="e">
        <f t="shared" si="98"/>
        <v>#DIV/0!</v>
      </c>
      <c r="E339" s="41" t="e">
        <f t="shared" si="99"/>
        <v>#DIV/0!</v>
      </c>
      <c r="F339" s="36" t="e">
        <f t="shared" si="100"/>
        <v>#DIV/0!</v>
      </c>
      <c r="G339" s="36" t="e">
        <f t="shared" si="101"/>
        <v>#DIV/0!</v>
      </c>
      <c r="H339" s="36" t="e">
        <f t="shared" si="102"/>
        <v>#DIV/0!</v>
      </c>
      <c r="W339" s="3"/>
      <c r="X339">
        <v>0.369999999999999</v>
      </c>
      <c r="Y339" s="3" t="e">
        <f t="shared" si="91"/>
        <v>#DIV/0!</v>
      </c>
      <c r="Z339" s="36" t="e">
        <f t="shared" si="72"/>
        <v>#DIV/0!</v>
      </c>
      <c r="AA339" s="3" t="e">
        <f t="shared" si="92"/>
        <v>#DIV/0!</v>
      </c>
      <c r="AB339" s="36" t="e">
        <f t="shared" si="73"/>
        <v>#DIV/0!</v>
      </c>
      <c r="AC339" s="3" t="e">
        <f t="shared" si="74"/>
        <v>#DIV/0!</v>
      </c>
      <c r="AD339" s="36" t="e">
        <f t="shared" si="75"/>
        <v>#DIV/0!</v>
      </c>
      <c r="AE339" s="36" t="e">
        <f t="shared" si="95"/>
        <v>#DIV/0!</v>
      </c>
      <c r="AF339" s="36" t="e">
        <f t="shared" si="93"/>
        <v>#DIV/0!</v>
      </c>
      <c r="AG339" s="3" t="e">
        <f t="shared" si="94"/>
        <v>#DIV/0!</v>
      </c>
      <c r="AH339" s="36" t="e">
        <f t="shared" si="77"/>
        <v>#DIV/0!</v>
      </c>
      <c r="AI339" s="36" t="e">
        <f t="shared" si="78"/>
        <v>#DIV/0!</v>
      </c>
      <c r="AJ339" s="3" t="e">
        <f t="shared" si="79"/>
        <v>#DIV/0!</v>
      </c>
      <c r="AK339" s="36" t="e">
        <f t="shared" si="80"/>
        <v>#DIV/0!</v>
      </c>
      <c r="AL339" s="36" t="e">
        <f t="shared" si="96"/>
        <v>#DIV/0!</v>
      </c>
      <c r="AM339" s="36" t="e">
        <f t="shared" si="82"/>
        <v>#DIV/0!</v>
      </c>
      <c r="AU339"/>
    </row>
    <row r="340" spans="2:47" ht="15.95" customHeight="1">
      <c r="B340" s="41">
        <v>0.155</v>
      </c>
      <c r="C340" s="41" t="e">
        <f t="shared" si="97"/>
        <v>#DIV/0!</v>
      </c>
      <c r="D340" s="35" t="e">
        <f t="shared" si="98"/>
        <v>#DIV/0!</v>
      </c>
      <c r="E340" s="41" t="e">
        <f t="shared" si="99"/>
        <v>#DIV/0!</v>
      </c>
      <c r="F340" s="36" t="e">
        <f t="shared" si="100"/>
        <v>#DIV/0!</v>
      </c>
      <c r="G340" s="36" t="e">
        <f t="shared" si="101"/>
        <v>#DIV/0!</v>
      </c>
      <c r="H340" s="36" t="e">
        <f t="shared" si="102"/>
        <v>#DIV/0!</v>
      </c>
      <c r="W340" s="3"/>
      <c r="X340" s="37">
        <v>0.36499999999999899</v>
      </c>
      <c r="Y340" s="38" t="e">
        <f t="shared" si="91"/>
        <v>#DIV/0!</v>
      </c>
      <c r="Z340" s="36" t="e">
        <f t="shared" si="72"/>
        <v>#DIV/0!</v>
      </c>
      <c r="AA340" s="3" t="e">
        <f t="shared" si="92"/>
        <v>#DIV/0!</v>
      </c>
      <c r="AB340" s="36" t="e">
        <f t="shared" si="73"/>
        <v>#DIV/0!</v>
      </c>
      <c r="AC340" s="3" t="e">
        <f t="shared" si="74"/>
        <v>#DIV/0!</v>
      </c>
      <c r="AD340" s="36" t="e">
        <f t="shared" si="75"/>
        <v>#DIV/0!</v>
      </c>
      <c r="AE340" s="36" t="e">
        <f t="shared" si="95"/>
        <v>#DIV/0!</v>
      </c>
      <c r="AF340" s="36" t="e">
        <f t="shared" si="93"/>
        <v>#DIV/0!</v>
      </c>
      <c r="AG340" s="3" t="e">
        <f t="shared" si="94"/>
        <v>#DIV/0!</v>
      </c>
      <c r="AH340" s="36" t="e">
        <f t="shared" si="77"/>
        <v>#DIV/0!</v>
      </c>
      <c r="AI340" s="36" t="e">
        <f t="shared" si="78"/>
        <v>#DIV/0!</v>
      </c>
      <c r="AJ340" s="3" t="e">
        <f t="shared" si="79"/>
        <v>#DIV/0!</v>
      </c>
      <c r="AK340" s="36" t="e">
        <f t="shared" si="80"/>
        <v>#DIV/0!</v>
      </c>
      <c r="AL340" s="36" t="e">
        <f t="shared" si="96"/>
        <v>#DIV/0!</v>
      </c>
      <c r="AM340" s="36" t="e">
        <f t="shared" si="82"/>
        <v>#DIV/0!</v>
      </c>
      <c r="AU340"/>
    </row>
    <row r="341" spans="2:47" ht="15.95" customHeight="1">
      <c r="B341" s="41">
        <v>0.16</v>
      </c>
      <c r="C341" s="41" t="e">
        <f t="shared" si="97"/>
        <v>#DIV/0!</v>
      </c>
      <c r="D341" s="35" t="e">
        <f t="shared" si="98"/>
        <v>#DIV/0!</v>
      </c>
      <c r="E341" s="41" t="e">
        <f t="shared" si="99"/>
        <v>#DIV/0!</v>
      </c>
      <c r="F341" s="36" t="e">
        <f t="shared" si="100"/>
        <v>#DIV/0!</v>
      </c>
      <c r="G341" s="36" t="e">
        <f t="shared" si="101"/>
        <v>#DIV/0!</v>
      </c>
      <c r="H341" s="36" t="e">
        <f t="shared" si="102"/>
        <v>#DIV/0!</v>
      </c>
      <c r="W341" s="3"/>
      <c r="X341">
        <v>0.35999999999999899</v>
      </c>
      <c r="Y341" s="3" t="e">
        <f t="shared" si="91"/>
        <v>#DIV/0!</v>
      </c>
      <c r="Z341" s="36" t="e">
        <f t="shared" si="72"/>
        <v>#DIV/0!</v>
      </c>
      <c r="AA341" s="3" t="e">
        <f t="shared" ref="AA341:AA372" si="103">Z341/SIN((0.5*$H$15*PI()/180))</f>
        <v>#DIV/0!</v>
      </c>
      <c r="AB341" s="36" t="e">
        <f t="shared" si="73"/>
        <v>#DIV/0!</v>
      </c>
      <c r="AC341" s="3" t="e">
        <f t="shared" si="74"/>
        <v>#DIV/0!</v>
      </c>
      <c r="AD341" s="36" t="e">
        <f t="shared" si="75"/>
        <v>#DIV/0!</v>
      </c>
      <c r="AE341" s="36" t="e">
        <f t="shared" si="95"/>
        <v>#DIV/0!</v>
      </c>
      <c r="AF341" s="36" t="e">
        <f t="shared" ref="AF341:AF372" si="104">Y341*SIN($H$15/2*PI()/180)</f>
        <v>#DIV/0!</v>
      </c>
      <c r="AG341" s="3" t="e">
        <f t="shared" ref="AG341:AG372" si="105">AF341/SIN((0.5*$H$15*PI()/180))</f>
        <v>#DIV/0!</v>
      </c>
      <c r="AH341" s="36" t="e">
        <f t="shared" si="77"/>
        <v>#DIV/0!</v>
      </c>
      <c r="AI341" s="36" t="e">
        <f t="shared" si="78"/>
        <v>#DIV/0!</v>
      </c>
      <c r="AJ341" s="3" t="e">
        <f t="shared" si="79"/>
        <v>#DIV/0!</v>
      </c>
      <c r="AK341" s="36" t="e">
        <f t="shared" si="80"/>
        <v>#DIV/0!</v>
      </c>
      <c r="AL341" s="36" t="e">
        <f t="shared" si="96"/>
        <v>#DIV/0!</v>
      </c>
      <c r="AM341" s="36" t="e">
        <f t="shared" si="82"/>
        <v>#DIV/0!</v>
      </c>
      <c r="AU341"/>
    </row>
    <row r="342" spans="2:47" ht="15.95" customHeight="1">
      <c r="B342" s="41">
        <v>0.16500000000000001</v>
      </c>
      <c r="C342" s="41" t="e">
        <f t="shared" si="97"/>
        <v>#DIV/0!</v>
      </c>
      <c r="D342" s="35" t="e">
        <f t="shared" si="98"/>
        <v>#DIV/0!</v>
      </c>
      <c r="E342" s="41" t="e">
        <f t="shared" si="99"/>
        <v>#DIV/0!</v>
      </c>
      <c r="F342" s="36" t="e">
        <f t="shared" si="100"/>
        <v>#DIV/0!</v>
      </c>
      <c r="G342" s="36" t="e">
        <f t="shared" si="101"/>
        <v>#DIV/0!</v>
      </c>
      <c r="H342" s="36" t="e">
        <f t="shared" si="102"/>
        <v>#DIV/0!</v>
      </c>
      <c r="W342" s="3"/>
      <c r="X342">
        <v>0.35499999999999898</v>
      </c>
      <c r="Y342" s="3" t="e">
        <f t="shared" si="91"/>
        <v>#DIV/0!</v>
      </c>
      <c r="Z342" s="36" t="e">
        <f t="shared" ref="Z342:Z405" si="106">Y342*SIN($F$15*PI()/180)</f>
        <v>#DIV/0!</v>
      </c>
      <c r="AA342" s="3" t="e">
        <f t="shared" si="103"/>
        <v>#DIV/0!</v>
      </c>
      <c r="AB342" s="36" t="e">
        <f t="shared" ref="AB342:AB405" si="107">X342*EXP(-($M$22/10000)*AA342)*100</f>
        <v>#DIV/0!</v>
      </c>
      <c r="AC342" s="3" t="e">
        <f t="shared" ref="AC342:AC405" si="108">Z342/SIN((0.5*$J$15*PI()/180))</f>
        <v>#DIV/0!</v>
      </c>
      <c r="AD342" s="36" t="e">
        <f t="shared" ref="AD342:AD405" si="109">X342*EXP(-($M$22/10000)*AC342)*100</f>
        <v>#DIV/0!</v>
      </c>
      <c r="AE342" s="36" t="e">
        <f t="shared" ref="AE342:AE373" si="110">Z342*(-1)</f>
        <v>#DIV/0!</v>
      </c>
      <c r="AF342" s="36" t="e">
        <f t="shared" si="104"/>
        <v>#DIV/0!</v>
      </c>
      <c r="AG342" s="3" t="e">
        <f t="shared" si="105"/>
        <v>#DIV/0!</v>
      </c>
      <c r="AH342" s="36" t="e">
        <f t="shared" ref="AH342:AH405" si="111">X342*EXP(-($M$22/10000)*AG342)*100</f>
        <v>#DIV/0!</v>
      </c>
      <c r="AI342" s="36" t="e">
        <f t="shared" ref="AI342:AI405" si="112">Y342*SIN($J$15/2*PI()/180)</f>
        <v>#DIV/0!</v>
      </c>
      <c r="AJ342" s="3" t="e">
        <f t="shared" ref="AJ342:AJ405" si="113">AI342/SIN((0.5*$J$15*PI()/180))</f>
        <v>#DIV/0!</v>
      </c>
      <c r="AK342" s="36" t="e">
        <f t="shared" ref="AK342:AK405" si="114">X342*EXP(-($M$22/10000)*AJ342)*100</f>
        <v>#DIV/0!</v>
      </c>
      <c r="AL342" s="36" t="e">
        <f t="shared" ref="AL342:AL373" si="115">AF342*(-1)</f>
        <v>#DIV/0!</v>
      </c>
      <c r="AM342" s="36" t="e">
        <f t="shared" si="82"/>
        <v>#DIV/0!</v>
      </c>
      <c r="AU342"/>
    </row>
    <row r="343" spans="2:47" ht="15.95" customHeight="1">
      <c r="B343" s="41">
        <v>0.17</v>
      </c>
      <c r="C343" s="41" t="e">
        <f t="shared" si="97"/>
        <v>#DIV/0!</v>
      </c>
      <c r="D343" s="35" t="e">
        <f t="shared" si="98"/>
        <v>#DIV/0!</v>
      </c>
      <c r="E343" s="41" t="e">
        <f t="shared" si="99"/>
        <v>#DIV/0!</v>
      </c>
      <c r="F343" s="36" t="e">
        <f t="shared" si="100"/>
        <v>#DIV/0!</v>
      </c>
      <c r="G343" s="36" t="e">
        <f t="shared" si="101"/>
        <v>#DIV/0!</v>
      </c>
      <c r="H343" s="36" t="e">
        <f t="shared" si="102"/>
        <v>#DIV/0!</v>
      </c>
      <c r="W343" s="3"/>
      <c r="X343">
        <v>0.34999999999999898</v>
      </c>
      <c r="Y343" s="3" t="e">
        <f t="shared" si="91"/>
        <v>#DIV/0!</v>
      </c>
      <c r="Z343" s="36" t="e">
        <f t="shared" si="106"/>
        <v>#DIV/0!</v>
      </c>
      <c r="AA343" s="3" t="e">
        <f t="shared" si="103"/>
        <v>#DIV/0!</v>
      </c>
      <c r="AB343" s="36" t="e">
        <f t="shared" si="107"/>
        <v>#DIV/0!</v>
      </c>
      <c r="AC343" s="3" t="e">
        <f t="shared" si="108"/>
        <v>#DIV/0!</v>
      </c>
      <c r="AD343" s="36" t="e">
        <f t="shared" si="109"/>
        <v>#DIV/0!</v>
      </c>
      <c r="AE343" s="36" t="e">
        <f t="shared" si="110"/>
        <v>#DIV/0!</v>
      </c>
      <c r="AF343" s="36" t="e">
        <f t="shared" si="104"/>
        <v>#DIV/0!</v>
      </c>
      <c r="AG343" s="3" t="e">
        <f t="shared" si="105"/>
        <v>#DIV/0!</v>
      </c>
      <c r="AH343" s="36" t="e">
        <f t="shared" si="111"/>
        <v>#DIV/0!</v>
      </c>
      <c r="AI343" s="36" t="e">
        <f t="shared" si="112"/>
        <v>#DIV/0!</v>
      </c>
      <c r="AJ343" s="3" t="e">
        <f t="shared" si="113"/>
        <v>#DIV/0!</v>
      </c>
      <c r="AK343" s="36" t="e">
        <f t="shared" si="114"/>
        <v>#DIV/0!</v>
      </c>
      <c r="AL343" s="36" t="e">
        <f t="shared" si="115"/>
        <v>#DIV/0!</v>
      </c>
      <c r="AM343" s="36" t="e">
        <f t="shared" ref="AM343:AM406" si="116">AI343*(-1)</f>
        <v>#DIV/0!</v>
      </c>
      <c r="AU343"/>
    </row>
    <row r="344" spans="2:47" ht="15.95" customHeight="1">
      <c r="B344" s="41">
        <v>0.17499999999999999</v>
      </c>
      <c r="C344" s="41" t="e">
        <f t="shared" si="97"/>
        <v>#DIV/0!</v>
      </c>
      <c r="D344" s="35" t="e">
        <f t="shared" si="98"/>
        <v>#DIV/0!</v>
      </c>
      <c r="E344" s="41" t="e">
        <f t="shared" si="99"/>
        <v>#DIV/0!</v>
      </c>
      <c r="F344" s="36" t="e">
        <f t="shared" si="100"/>
        <v>#DIV/0!</v>
      </c>
      <c r="G344" s="36" t="e">
        <f t="shared" si="101"/>
        <v>#DIV/0!</v>
      </c>
      <c r="H344" s="36" t="e">
        <f t="shared" si="102"/>
        <v>#DIV/0!</v>
      </c>
      <c r="W344" s="3"/>
      <c r="X344">
        <v>0.34499999999999897</v>
      </c>
      <c r="Y344" s="3" t="e">
        <f t="shared" si="91"/>
        <v>#DIV/0!</v>
      </c>
      <c r="Z344" s="36" t="e">
        <f t="shared" si="106"/>
        <v>#DIV/0!</v>
      </c>
      <c r="AA344" s="3" t="e">
        <f t="shared" si="103"/>
        <v>#DIV/0!</v>
      </c>
      <c r="AB344" s="36" t="e">
        <f t="shared" si="107"/>
        <v>#DIV/0!</v>
      </c>
      <c r="AC344" s="3" t="e">
        <f t="shared" si="108"/>
        <v>#DIV/0!</v>
      </c>
      <c r="AD344" s="36" t="e">
        <f t="shared" si="109"/>
        <v>#DIV/0!</v>
      </c>
      <c r="AE344" s="36" t="e">
        <f t="shared" si="110"/>
        <v>#DIV/0!</v>
      </c>
      <c r="AF344" s="36" t="e">
        <f t="shared" si="104"/>
        <v>#DIV/0!</v>
      </c>
      <c r="AG344" s="3" t="e">
        <f t="shared" si="105"/>
        <v>#DIV/0!</v>
      </c>
      <c r="AH344" s="36" t="e">
        <f t="shared" si="111"/>
        <v>#DIV/0!</v>
      </c>
      <c r="AI344" s="36" t="e">
        <f t="shared" si="112"/>
        <v>#DIV/0!</v>
      </c>
      <c r="AJ344" s="3" t="e">
        <f t="shared" si="113"/>
        <v>#DIV/0!</v>
      </c>
      <c r="AK344" s="36" t="e">
        <f t="shared" si="114"/>
        <v>#DIV/0!</v>
      </c>
      <c r="AL344" s="36" t="e">
        <f t="shared" si="115"/>
        <v>#DIV/0!</v>
      </c>
      <c r="AM344" s="36" t="e">
        <f t="shared" si="116"/>
        <v>#DIV/0!</v>
      </c>
      <c r="AU344"/>
    </row>
    <row r="345" spans="2:47" ht="15.95" customHeight="1">
      <c r="B345" s="41">
        <v>0.18</v>
      </c>
      <c r="C345" s="41" t="e">
        <f t="shared" si="97"/>
        <v>#DIV/0!</v>
      </c>
      <c r="D345" s="35" t="e">
        <f t="shared" si="98"/>
        <v>#DIV/0!</v>
      </c>
      <c r="E345" s="41" t="e">
        <f t="shared" si="99"/>
        <v>#DIV/0!</v>
      </c>
      <c r="F345" s="36" t="e">
        <f t="shared" si="100"/>
        <v>#DIV/0!</v>
      </c>
      <c r="G345" s="36" t="e">
        <f t="shared" si="101"/>
        <v>#DIV/0!</v>
      </c>
      <c r="H345" s="36" t="e">
        <f t="shared" si="102"/>
        <v>#DIV/0!</v>
      </c>
      <c r="W345" s="3"/>
      <c r="X345">
        <v>0.33999999999999903</v>
      </c>
      <c r="Y345" s="3" t="e">
        <f t="shared" si="91"/>
        <v>#DIV/0!</v>
      </c>
      <c r="Z345" s="36" t="e">
        <f t="shared" si="106"/>
        <v>#DIV/0!</v>
      </c>
      <c r="AA345" s="3" t="e">
        <f t="shared" si="103"/>
        <v>#DIV/0!</v>
      </c>
      <c r="AB345" s="36" t="e">
        <f t="shared" si="107"/>
        <v>#DIV/0!</v>
      </c>
      <c r="AC345" s="3" t="e">
        <f t="shared" si="108"/>
        <v>#DIV/0!</v>
      </c>
      <c r="AD345" s="36" t="e">
        <f t="shared" si="109"/>
        <v>#DIV/0!</v>
      </c>
      <c r="AE345" s="36" t="e">
        <f t="shared" si="110"/>
        <v>#DIV/0!</v>
      </c>
      <c r="AF345" s="36" t="e">
        <f t="shared" si="104"/>
        <v>#DIV/0!</v>
      </c>
      <c r="AG345" s="3" t="e">
        <f t="shared" si="105"/>
        <v>#DIV/0!</v>
      </c>
      <c r="AH345" s="36" t="e">
        <f t="shared" si="111"/>
        <v>#DIV/0!</v>
      </c>
      <c r="AI345" s="36" t="e">
        <f t="shared" si="112"/>
        <v>#DIV/0!</v>
      </c>
      <c r="AJ345" s="3" t="e">
        <f t="shared" si="113"/>
        <v>#DIV/0!</v>
      </c>
      <c r="AK345" s="36" t="e">
        <f t="shared" si="114"/>
        <v>#DIV/0!</v>
      </c>
      <c r="AL345" s="36" t="e">
        <f t="shared" si="115"/>
        <v>#DIV/0!</v>
      </c>
      <c r="AM345" s="36" t="e">
        <f t="shared" si="116"/>
        <v>#DIV/0!</v>
      </c>
      <c r="AU345"/>
    </row>
    <row r="346" spans="2:47" ht="15.95" customHeight="1">
      <c r="B346" s="41">
        <v>0.185</v>
      </c>
      <c r="C346" s="41" t="e">
        <f t="shared" si="97"/>
        <v>#DIV/0!</v>
      </c>
      <c r="D346" s="35" t="e">
        <f t="shared" si="98"/>
        <v>#DIV/0!</v>
      </c>
      <c r="E346" s="41" t="e">
        <f t="shared" si="99"/>
        <v>#DIV/0!</v>
      </c>
      <c r="F346" s="36" t="e">
        <f t="shared" si="100"/>
        <v>#DIV/0!</v>
      </c>
      <c r="G346" s="36" t="e">
        <f t="shared" si="101"/>
        <v>#DIV/0!</v>
      </c>
      <c r="H346" s="36" t="e">
        <f t="shared" si="102"/>
        <v>#DIV/0!</v>
      </c>
      <c r="W346" s="3"/>
      <c r="X346">
        <v>0.33499999999999902</v>
      </c>
      <c r="Y346" s="3" t="e">
        <f t="shared" si="91"/>
        <v>#DIV/0!</v>
      </c>
      <c r="Z346" s="36" t="e">
        <f t="shared" si="106"/>
        <v>#DIV/0!</v>
      </c>
      <c r="AA346" s="3" t="e">
        <f t="shared" si="103"/>
        <v>#DIV/0!</v>
      </c>
      <c r="AB346" s="36" t="e">
        <f t="shared" si="107"/>
        <v>#DIV/0!</v>
      </c>
      <c r="AC346" s="3" t="e">
        <f t="shared" si="108"/>
        <v>#DIV/0!</v>
      </c>
      <c r="AD346" s="36" t="e">
        <f t="shared" si="109"/>
        <v>#DIV/0!</v>
      </c>
      <c r="AE346" s="36" t="e">
        <f t="shared" si="110"/>
        <v>#DIV/0!</v>
      </c>
      <c r="AF346" s="36" t="e">
        <f t="shared" si="104"/>
        <v>#DIV/0!</v>
      </c>
      <c r="AG346" s="3" t="e">
        <f t="shared" si="105"/>
        <v>#DIV/0!</v>
      </c>
      <c r="AH346" s="36" t="e">
        <f t="shared" si="111"/>
        <v>#DIV/0!</v>
      </c>
      <c r="AI346" s="36" t="e">
        <f t="shared" si="112"/>
        <v>#DIV/0!</v>
      </c>
      <c r="AJ346" s="3" t="e">
        <f t="shared" si="113"/>
        <v>#DIV/0!</v>
      </c>
      <c r="AK346" s="36" t="e">
        <f t="shared" si="114"/>
        <v>#DIV/0!</v>
      </c>
      <c r="AL346" s="36" t="e">
        <f t="shared" si="115"/>
        <v>#DIV/0!</v>
      </c>
      <c r="AM346" s="36" t="e">
        <f t="shared" si="116"/>
        <v>#DIV/0!</v>
      </c>
      <c r="AU346"/>
    </row>
    <row r="347" spans="2:47" ht="15.95" customHeight="1">
      <c r="B347" s="41">
        <v>0.19</v>
      </c>
      <c r="C347" s="41" t="e">
        <f t="shared" si="97"/>
        <v>#DIV/0!</v>
      </c>
      <c r="D347" s="35" t="e">
        <f t="shared" si="98"/>
        <v>#DIV/0!</v>
      </c>
      <c r="E347" s="41" t="e">
        <f t="shared" si="99"/>
        <v>#DIV/0!</v>
      </c>
      <c r="F347" s="36" t="e">
        <f t="shared" si="100"/>
        <v>#DIV/0!</v>
      </c>
      <c r="G347" s="36" t="e">
        <f t="shared" si="101"/>
        <v>#DIV/0!</v>
      </c>
      <c r="H347" s="36" t="e">
        <f t="shared" si="102"/>
        <v>#DIV/0!</v>
      </c>
      <c r="W347" s="3"/>
      <c r="X347">
        <v>0.32999999999999902</v>
      </c>
      <c r="Y347" s="3" t="e">
        <f t="shared" si="91"/>
        <v>#DIV/0!</v>
      </c>
      <c r="Z347" s="36" t="e">
        <f t="shared" si="106"/>
        <v>#DIV/0!</v>
      </c>
      <c r="AA347" s="3" t="e">
        <f t="shared" si="103"/>
        <v>#DIV/0!</v>
      </c>
      <c r="AB347" s="36" t="e">
        <f t="shared" si="107"/>
        <v>#DIV/0!</v>
      </c>
      <c r="AC347" s="3" t="e">
        <f t="shared" si="108"/>
        <v>#DIV/0!</v>
      </c>
      <c r="AD347" s="36" t="e">
        <f t="shared" si="109"/>
        <v>#DIV/0!</v>
      </c>
      <c r="AE347" s="36" t="e">
        <f t="shared" si="110"/>
        <v>#DIV/0!</v>
      </c>
      <c r="AF347" s="36" t="e">
        <f t="shared" si="104"/>
        <v>#DIV/0!</v>
      </c>
      <c r="AG347" s="3" t="e">
        <f t="shared" si="105"/>
        <v>#DIV/0!</v>
      </c>
      <c r="AH347" s="36" t="e">
        <f t="shared" si="111"/>
        <v>#DIV/0!</v>
      </c>
      <c r="AI347" s="36" t="e">
        <f t="shared" si="112"/>
        <v>#DIV/0!</v>
      </c>
      <c r="AJ347" s="3" t="e">
        <f t="shared" si="113"/>
        <v>#DIV/0!</v>
      </c>
      <c r="AK347" s="36" t="e">
        <f t="shared" si="114"/>
        <v>#DIV/0!</v>
      </c>
      <c r="AL347" s="36" t="e">
        <f t="shared" si="115"/>
        <v>#DIV/0!</v>
      </c>
      <c r="AM347" s="36" t="e">
        <f t="shared" si="116"/>
        <v>#DIV/0!</v>
      </c>
      <c r="AU347"/>
    </row>
    <row r="348" spans="2:47" ht="15.95" customHeight="1">
      <c r="B348" s="41">
        <v>0.19500000000000001</v>
      </c>
      <c r="C348" s="41" t="e">
        <f t="shared" si="97"/>
        <v>#DIV/0!</v>
      </c>
      <c r="D348" s="35" t="e">
        <f t="shared" si="98"/>
        <v>#DIV/0!</v>
      </c>
      <c r="E348" s="41" t="e">
        <f t="shared" si="99"/>
        <v>#DIV/0!</v>
      </c>
      <c r="F348" s="36" t="e">
        <f t="shared" si="100"/>
        <v>#DIV/0!</v>
      </c>
      <c r="G348" s="36" t="e">
        <f t="shared" si="101"/>
        <v>#DIV/0!</v>
      </c>
      <c r="H348" s="36" t="e">
        <f t="shared" si="102"/>
        <v>#DIV/0!</v>
      </c>
      <c r="W348" s="3"/>
      <c r="X348">
        <v>0.32499999999999901</v>
      </c>
      <c r="Y348" s="3" t="e">
        <f t="shared" si="91"/>
        <v>#DIV/0!</v>
      </c>
      <c r="Z348" s="36" t="e">
        <f t="shared" si="106"/>
        <v>#DIV/0!</v>
      </c>
      <c r="AA348" s="3" t="e">
        <f t="shared" si="103"/>
        <v>#DIV/0!</v>
      </c>
      <c r="AB348" s="36" t="e">
        <f t="shared" si="107"/>
        <v>#DIV/0!</v>
      </c>
      <c r="AC348" s="3" t="e">
        <f t="shared" si="108"/>
        <v>#DIV/0!</v>
      </c>
      <c r="AD348" s="36" t="e">
        <f t="shared" si="109"/>
        <v>#DIV/0!</v>
      </c>
      <c r="AE348" s="36" t="e">
        <f t="shared" si="110"/>
        <v>#DIV/0!</v>
      </c>
      <c r="AF348" s="36" t="e">
        <f t="shared" si="104"/>
        <v>#DIV/0!</v>
      </c>
      <c r="AG348" s="3" t="e">
        <f t="shared" si="105"/>
        <v>#DIV/0!</v>
      </c>
      <c r="AH348" s="36" t="e">
        <f t="shared" si="111"/>
        <v>#DIV/0!</v>
      </c>
      <c r="AI348" s="36" t="e">
        <f t="shared" si="112"/>
        <v>#DIV/0!</v>
      </c>
      <c r="AJ348" s="3" t="e">
        <f t="shared" si="113"/>
        <v>#DIV/0!</v>
      </c>
      <c r="AK348" s="36" t="e">
        <f t="shared" si="114"/>
        <v>#DIV/0!</v>
      </c>
      <c r="AL348" s="36" t="e">
        <f t="shared" si="115"/>
        <v>#DIV/0!</v>
      </c>
      <c r="AM348" s="36" t="e">
        <f t="shared" si="116"/>
        <v>#DIV/0!</v>
      </c>
      <c r="AU348"/>
    </row>
    <row r="349" spans="2:47" ht="15.95" customHeight="1">
      <c r="B349" s="41">
        <v>0.2</v>
      </c>
      <c r="C349" s="41" t="e">
        <f t="shared" si="97"/>
        <v>#DIV/0!</v>
      </c>
      <c r="D349" s="35" t="e">
        <f t="shared" si="98"/>
        <v>#DIV/0!</v>
      </c>
      <c r="E349" s="41" t="e">
        <f t="shared" si="99"/>
        <v>#DIV/0!</v>
      </c>
      <c r="F349" s="36" t="e">
        <f t="shared" si="100"/>
        <v>#DIV/0!</v>
      </c>
      <c r="G349" s="36" t="e">
        <f t="shared" si="101"/>
        <v>#DIV/0!</v>
      </c>
      <c r="H349" s="36" t="e">
        <f t="shared" si="102"/>
        <v>#DIV/0!</v>
      </c>
      <c r="W349" s="3"/>
      <c r="X349">
        <v>0.31999999999999901</v>
      </c>
      <c r="Y349" s="3" t="e">
        <f t="shared" si="91"/>
        <v>#DIV/0!</v>
      </c>
      <c r="Z349" s="36" t="e">
        <f t="shared" si="106"/>
        <v>#DIV/0!</v>
      </c>
      <c r="AA349" s="3" t="e">
        <f t="shared" si="103"/>
        <v>#DIV/0!</v>
      </c>
      <c r="AB349" s="36" t="e">
        <f t="shared" si="107"/>
        <v>#DIV/0!</v>
      </c>
      <c r="AC349" s="3" t="e">
        <f t="shared" si="108"/>
        <v>#DIV/0!</v>
      </c>
      <c r="AD349" s="36" t="e">
        <f t="shared" si="109"/>
        <v>#DIV/0!</v>
      </c>
      <c r="AE349" s="36" t="e">
        <f t="shared" si="110"/>
        <v>#DIV/0!</v>
      </c>
      <c r="AF349" s="36" t="e">
        <f t="shared" si="104"/>
        <v>#DIV/0!</v>
      </c>
      <c r="AG349" s="3" t="e">
        <f t="shared" si="105"/>
        <v>#DIV/0!</v>
      </c>
      <c r="AH349" s="36" t="e">
        <f t="shared" si="111"/>
        <v>#DIV/0!</v>
      </c>
      <c r="AI349" s="36" t="e">
        <f t="shared" si="112"/>
        <v>#DIV/0!</v>
      </c>
      <c r="AJ349" s="3" t="e">
        <f t="shared" si="113"/>
        <v>#DIV/0!</v>
      </c>
      <c r="AK349" s="36" t="e">
        <f t="shared" si="114"/>
        <v>#DIV/0!</v>
      </c>
      <c r="AL349" s="36" t="e">
        <f t="shared" si="115"/>
        <v>#DIV/0!</v>
      </c>
      <c r="AM349" s="36" t="e">
        <f t="shared" si="116"/>
        <v>#DIV/0!</v>
      </c>
      <c r="AU349"/>
    </row>
    <row r="350" spans="2:47" ht="15.95" customHeight="1">
      <c r="B350" s="41">
        <v>0.20499999999999999</v>
      </c>
      <c r="C350" s="41" t="e">
        <f t="shared" si="97"/>
        <v>#DIV/0!</v>
      </c>
      <c r="D350" s="35" t="e">
        <f t="shared" si="98"/>
        <v>#DIV/0!</v>
      </c>
      <c r="E350" s="41" t="e">
        <f t="shared" si="99"/>
        <v>#DIV/0!</v>
      </c>
      <c r="F350" s="36" t="e">
        <f t="shared" si="100"/>
        <v>#DIV/0!</v>
      </c>
      <c r="G350" s="36" t="e">
        <f t="shared" si="101"/>
        <v>#DIV/0!</v>
      </c>
      <c r="H350" s="36" t="e">
        <f t="shared" si="102"/>
        <v>#DIV/0!</v>
      </c>
      <c r="W350" s="3"/>
      <c r="X350">
        <v>0.314999999999999</v>
      </c>
      <c r="Y350" s="3" t="e">
        <f t="shared" si="91"/>
        <v>#DIV/0!</v>
      </c>
      <c r="Z350" s="36" t="e">
        <f t="shared" si="106"/>
        <v>#DIV/0!</v>
      </c>
      <c r="AA350" s="3" t="e">
        <f t="shared" si="103"/>
        <v>#DIV/0!</v>
      </c>
      <c r="AB350" s="36" t="e">
        <f t="shared" si="107"/>
        <v>#DIV/0!</v>
      </c>
      <c r="AC350" s="3" t="e">
        <f t="shared" si="108"/>
        <v>#DIV/0!</v>
      </c>
      <c r="AD350" s="36" t="e">
        <f t="shared" si="109"/>
        <v>#DIV/0!</v>
      </c>
      <c r="AE350" s="36" t="e">
        <f t="shared" si="110"/>
        <v>#DIV/0!</v>
      </c>
      <c r="AF350" s="36" t="e">
        <f t="shared" si="104"/>
        <v>#DIV/0!</v>
      </c>
      <c r="AG350" s="3" t="e">
        <f t="shared" si="105"/>
        <v>#DIV/0!</v>
      </c>
      <c r="AH350" s="36" t="e">
        <f t="shared" si="111"/>
        <v>#DIV/0!</v>
      </c>
      <c r="AI350" s="36" t="e">
        <f t="shared" si="112"/>
        <v>#DIV/0!</v>
      </c>
      <c r="AJ350" s="3" t="e">
        <f t="shared" si="113"/>
        <v>#DIV/0!</v>
      </c>
      <c r="AK350" s="36" t="e">
        <f t="shared" si="114"/>
        <v>#DIV/0!</v>
      </c>
      <c r="AL350" s="36" t="e">
        <f t="shared" si="115"/>
        <v>#DIV/0!</v>
      </c>
      <c r="AM350" s="36" t="e">
        <f t="shared" si="116"/>
        <v>#DIV/0!</v>
      </c>
      <c r="AU350"/>
    </row>
    <row r="351" spans="2:47" ht="15.95" customHeight="1">
      <c r="B351" s="41">
        <v>0.21</v>
      </c>
      <c r="C351" s="41" t="e">
        <f t="shared" si="97"/>
        <v>#DIV/0!</v>
      </c>
      <c r="D351" s="35" t="e">
        <f t="shared" si="98"/>
        <v>#DIV/0!</v>
      </c>
      <c r="E351" s="41" t="e">
        <f t="shared" si="99"/>
        <v>#DIV/0!</v>
      </c>
      <c r="F351" s="36" t="e">
        <f t="shared" si="100"/>
        <v>#DIV/0!</v>
      </c>
      <c r="G351" s="36" t="e">
        <f t="shared" si="101"/>
        <v>#DIV/0!</v>
      </c>
      <c r="H351" s="36" t="e">
        <f t="shared" si="102"/>
        <v>#DIV/0!</v>
      </c>
      <c r="W351" s="3"/>
      <c r="X351">
        <v>0.309999999999999</v>
      </c>
      <c r="Y351" s="3" t="e">
        <f t="shared" si="91"/>
        <v>#DIV/0!</v>
      </c>
      <c r="Z351" s="36" t="e">
        <f t="shared" si="106"/>
        <v>#DIV/0!</v>
      </c>
      <c r="AA351" s="3" t="e">
        <f t="shared" si="103"/>
        <v>#DIV/0!</v>
      </c>
      <c r="AB351" s="36" t="e">
        <f t="shared" si="107"/>
        <v>#DIV/0!</v>
      </c>
      <c r="AC351" s="3" t="e">
        <f t="shared" si="108"/>
        <v>#DIV/0!</v>
      </c>
      <c r="AD351" s="36" t="e">
        <f t="shared" si="109"/>
        <v>#DIV/0!</v>
      </c>
      <c r="AE351" s="36" t="e">
        <f t="shared" si="110"/>
        <v>#DIV/0!</v>
      </c>
      <c r="AF351" s="36" t="e">
        <f t="shared" si="104"/>
        <v>#DIV/0!</v>
      </c>
      <c r="AG351" s="3" t="e">
        <f t="shared" si="105"/>
        <v>#DIV/0!</v>
      </c>
      <c r="AH351" s="36" t="e">
        <f t="shared" si="111"/>
        <v>#DIV/0!</v>
      </c>
      <c r="AI351" s="36" t="e">
        <f t="shared" si="112"/>
        <v>#DIV/0!</v>
      </c>
      <c r="AJ351" s="3" t="e">
        <f t="shared" si="113"/>
        <v>#DIV/0!</v>
      </c>
      <c r="AK351" s="36" t="e">
        <f t="shared" si="114"/>
        <v>#DIV/0!</v>
      </c>
      <c r="AL351" s="36" t="e">
        <f t="shared" si="115"/>
        <v>#DIV/0!</v>
      </c>
      <c r="AM351" s="36" t="e">
        <f t="shared" si="116"/>
        <v>#DIV/0!</v>
      </c>
      <c r="AU351"/>
    </row>
    <row r="352" spans="2:47" ht="15.95" customHeight="1">
      <c r="B352" s="41">
        <v>0.215</v>
      </c>
      <c r="C352" s="41" t="e">
        <f t="shared" si="97"/>
        <v>#DIV/0!</v>
      </c>
      <c r="D352" s="35" t="e">
        <f t="shared" si="98"/>
        <v>#DIV/0!</v>
      </c>
      <c r="E352" s="41" t="e">
        <f t="shared" si="99"/>
        <v>#DIV/0!</v>
      </c>
      <c r="F352" s="36" t="e">
        <f t="shared" si="100"/>
        <v>#DIV/0!</v>
      </c>
      <c r="G352" s="36" t="e">
        <f t="shared" si="101"/>
        <v>#DIV/0!</v>
      </c>
      <c r="H352" s="36" t="e">
        <f t="shared" si="102"/>
        <v>#DIV/0!</v>
      </c>
      <c r="W352" s="3"/>
      <c r="X352">
        <v>0.30499999999999899</v>
      </c>
      <c r="Y352" s="3" t="e">
        <f t="shared" si="91"/>
        <v>#DIV/0!</v>
      </c>
      <c r="Z352" s="36" t="e">
        <f t="shared" si="106"/>
        <v>#DIV/0!</v>
      </c>
      <c r="AA352" s="3" t="e">
        <f t="shared" si="103"/>
        <v>#DIV/0!</v>
      </c>
      <c r="AB352" s="36" t="e">
        <f t="shared" si="107"/>
        <v>#DIV/0!</v>
      </c>
      <c r="AC352" s="3" t="e">
        <f t="shared" si="108"/>
        <v>#DIV/0!</v>
      </c>
      <c r="AD352" s="36" t="e">
        <f t="shared" si="109"/>
        <v>#DIV/0!</v>
      </c>
      <c r="AE352" s="36" t="e">
        <f t="shared" si="110"/>
        <v>#DIV/0!</v>
      </c>
      <c r="AF352" s="36" t="e">
        <f t="shared" si="104"/>
        <v>#DIV/0!</v>
      </c>
      <c r="AG352" s="3" t="e">
        <f t="shared" si="105"/>
        <v>#DIV/0!</v>
      </c>
      <c r="AH352" s="36" t="e">
        <f t="shared" si="111"/>
        <v>#DIV/0!</v>
      </c>
      <c r="AI352" s="36" t="e">
        <f t="shared" si="112"/>
        <v>#DIV/0!</v>
      </c>
      <c r="AJ352" s="3" t="e">
        <f t="shared" si="113"/>
        <v>#DIV/0!</v>
      </c>
      <c r="AK352" s="36" t="e">
        <f t="shared" si="114"/>
        <v>#DIV/0!</v>
      </c>
      <c r="AL352" s="36" t="e">
        <f t="shared" si="115"/>
        <v>#DIV/0!</v>
      </c>
      <c r="AM352" s="36" t="e">
        <f t="shared" si="116"/>
        <v>#DIV/0!</v>
      </c>
      <c r="AU352"/>
    </row>
    <row r="353" spans="2:47" ht="15.95" customHeight="1">
      <c r="B353" s="41">
        <v>0.22</v>
      </c>
      <c r="C353" s="41" t="e">
        <f t="shared" si="97"/>
        <v>#DIV/0!</v>
      </c>
      <c r="D353" s="35" t="e">
        <f t="shared" si="98"/>
        <v>#DIV/0!</v>
      </c>
      <c r="E353" s="41" t="e">
        <f t="shared" si="99"/>
        <v>#DIV/0!</v>
      </c>
      <c r="F353" s="36" t="e">
        <f t="shared" si="100"/>
        <v>#DIV/0!</v>
      </c>
      <c r="G353" s="36" t="e">
        <f t="shared" si="101"/>
        <v>#DIV/0!</v>
      </c>
      <c r="H353" s="36" t="e">
        <f t="shared" si="102"/>
        <v>#DIV/0!</v>
      </c>
      <c r="W353" s="3"/>
      <c r="X353">
        <v>0.29999999999999899</v>
      </c>
      <c r="Y353" s="3" t="e">
        <f t="shared" si="91"/>
        <v>#DIV/0!</v>
      </c>
      <c r="Z353" s="36" t="e">
        <f t="shared" si="106"/>
        <v>#DIV/0!</v>
      </c>
      <c r="AA353" s="3" t="e">
        <f t="shared" si="103"/>
        <v>#DIV/0!</v>
      </c>
      <c r="AB353" s="36" t="e">
        <f t="shared" si="107"/>
        <v>#DIV/0!</v>
      </c>
      <c r="AC353" s="3" t="e">
        <f t="shared" si="108"/>
        <v>#DIV/0!</v>
      </c>
      <c r="AD353" s="36" t="e">
        <f t="shared" si="109"/>
        <v>#DIV/0!</v>
      </c>
      <c r="AE353" s="36" t="e">
        <f t="shared" si="110"/>
        <v>#DIV/0!</v>
      </c>
      <c r="AF353" s="36" t="e">
        <f t="shared" si="104"/>
        <v>#DIV/0!</v>
      </c>
      <c r="AG353" s="3" t="e">
        <f t="shared" si="105"/>
        <v>#DIV/0!</v>
      </c>
      <c r="AH353" s="36" t="e">
        <f t="shared" si="111"/>
        <v>#DIV/0!</v>
      </c>
      <c r="AI353" s="36" t="e">
        <f t="shared" si="112"/>
        <v>#DIV/0!</v>
      </c>
      <c r="AJ353" s="3" t="e">
        <f t="shared" si="113"/>
        <v>#DIV/0!</v>
      </c>
      <c r="AK353" s="36" t="e">
        <f t="shared" si="114"/>
        <v>#DIV/0!</v>
      </c>
      <c r="AL353" s="36" t="e">
        <f t="shared" si="115"/>
        <v>#DIV/0!</v>
      </c>
      <c r="AM353" s="36" t="e">
        <f t="shared" si="116"/>
        <v>#DIV/0!</v>
      </c>
      <c r="AU353"/>
    </row>
    <row r="354" spans="2:47" ht="15.95" customHeight="1">
      <c r="B354" s="41">
        <v>0.22500000000000001</v>
      </c>
      <c r="C354" s="41" t="e">
        <f t="shared" si="97"/>
        <v>#DIV/0!</v>
      </c>
      <c r="D354" s="35" t="e">
        <f t="shared" si="98"/>
        <v>#DIV/0!</v>
      </c>
      <c r="E354" s="41" t="e">
        <f t="shared" si="99"/>
        <v>#DIV/0!</v>
      </c>
      <c r="F354" s="36" t="e">
        <f t="shared" si="100"/>
        <v>#DIV/0!</v>
      </c>
      <c r="G354" s="36" t="e">
        <f t="shared" si="101"/>
        <v>#DIV/0!</v>
      </c>
      <c r="H354" s="36" t="e">
        <f t="shared" si="102"/>
        <v>#DIV/0!</v>
      </c>
      <c r="W354" s="3"/>
      <c r="X354">
        <v>0.29499999999999899</v>
      </c>
      <c r="Y354" s="3" t="e">
        <f t="shared" si="91"/>
        <v>#DIV/0!</v>
      </c>
      <c r="Z354" s="36" t="e">
        <f t="shared" si="106"/>
        <v>#DIV/0!</v>
      </c>
      <c r="AA354" s="3" t="e">
        <f t="shared" si="103"/>
        <v>#DIV/0!</v>
      </c>
      <c r="AB354" s="36" t="e">
        <f t="shared" si="107"/>
        <v>#DIV/0!</v>
      </c>
      <c r="AC354" s="3" t="e">
        <f t="shared" si="108"/>
        <v>#DIV/0!</v>
      </c>
      <c r="AD354" s="36" t="e">
        <f t="shared" si="109"/>
        <v>#DIV/0!</v>
      </c>
      <c r="AE354" s="36" t="e">
        <f t="shared" si="110"/>
        <v>#DIV/0!</v>
      </c>
      <c r="AF354" s="36" t="e">
        <f t="shared" si="104"/>
        <v>#DIV/0!</v>
      </c>
      <c r="AG354" s="3" t="e">
        <f t="shared" si="105"/>
        <v>#DIV/0!</v>
      </c>
      <c r="AH354" s="36" t="e">
        <f t="shared" si="111"/>
        <v>#DIV/0!</v>
      </c>
      <c r="AI354" s="36" t="e">
        <f t="shared" si="112"/>
        <v>#DIV/0!</v>
      </c>
      <c r="AJ354" s="3" t="e">
        <f t="shared" si="113"/>
        <v>#DIV/0!</v>
      </c>
      <c r="AK354" s="36" t="e">
        <f t="shared" si="114"/>
        <v>#DIV/0!</v>
      </c>
      <c r="AL354" s="36" t="e">
        <f t="shared" si="115"/>
        <v>#DIV/0!</v>
      </c>
      <c r="AM354" s="36" t="e">
        <f t="shared" si="116"/>
        <v>#DIV/0!</v>
      </c>
      <c r="AU354"/>
    </row>
    <row r="355" spans="2:47" ht="15.95" customHeight="1">
      <c r="B355" s="41">
        <v>0.23</v>
      </c>
      <c r="C355" s="41" t="e">
        <f t="shared" si="97"/>
        <v>#DIV/0!</v>
      </c>
      <c r="D355" s="35" t="e">
        <f t="shared" si="98"/>
        <v>#DIV/0!</v>
      </c>
      <c r="E355" s="41" t="e">
        <f t="shared" si="99"/>
        <v>#DIV/0!</v>
      </c>
      <c r="F355" s="36" t="e">
        <f t="shared" si="100"/>
        <v>#DIV/0!</v>
      </c>
      <c r="G355" s="36" t="e">
        <f t="shared" si="101"/>
        <v>#DIV/0!</v>
      </c>
      <c r="H355" s="36" t="e">
        <f t="shared" si="102"/>
        <v>#DIV/0!</v>
      </c>
      <c r="W355" s="3"/>
      <c r="X355">
        <v>0.28999999999999898</v>
      </c>
      <c r="Y355" s="3" t="e">
        <f t="shared" si="91"/>
        <v>#DIV/0!</v>
      </c>
      <c r="Z355" s="36" t="e">
        <f t="shared" si="106"/>
        <v>#DIV/0!</v>
      </c>
      <c r="AA355" s="3" t="e">
        <f t="shared" si="103"/>
        <v>#DIV/0!</v>
      </c>
      <c r="AB355" s="36" t="e">
        <f t="shared" si="107"/>
        <v>#DIV/0!</v>
      </c>
      <c r="AC355" s="3" t="e">
        <f t="shared" si="108"/>
        <v>#DIV/0!</v>
      </c>
      <c r="AD355" s="36" t="e">
        <f t="shared" si="109"/>
        <v>#DIV/0!</v>
      </c>
      <c r="AE355" s="36" t="e">
        <f t="shared" si="110"/>
        <v>#DIV/0!</v>
      </c>
      <c r="AF355" s="36" t="e">
        <f t="shared" si="104"/>
        <v>#DIV/0!</v>
      </c>
      <c r="AG355" s="3" t="e">
        <f t="shared" si="105"/>
        <v>#DIV/0!</v>
      </c>
      <c r="AH355" s="36" t="e">
        <f t="shared" si="111"/>
        <v>#DIV/0!</v>
      </c>
      <c r="AI355" s="36" t="e">
        <f t="shared" si="112"/>
        <v>#DIV/0!</v>
      </c>
      <c r="AJ355" s="3" t="e">
        <f t="shared" si="113"/>
        <v>#DIV/0!</v>
      </c>
      <c r="AK355" s="36" t="e">
        <f t="shared" si="114"/>
        <v>#DIV/0!</v>
      </c>
      <c r="AL355" s="36" t="e">
        <f t="shared" si="115"/>
        <v>#DIV/0!</v>
      </c>
      <c r="AM355" s="36" t="e">
        <f t="shared" si="116"/>
        <v>#DIV/0!</v>
      </c>
      <c r="AU355"/>
    </row>
    <row r="356" spans="2:47" ht="15.95" customHeight="1">
      <c r="B356" s="41">
        <v>0.23499999999999999</v>
      </c>
      <c r="C356" s="41" t="e">
        <f t="shared" si="97"/>
        <v>#DIV/0!</v>
      </c>
      <c r="D356" s="35" t="e">
        <f t="shared" si="98"/>
        <v>#DIV/0!</v>
      </c>
      <c r="E356" s="41" t="e">
        <f t="shared" si="99"/>
        <v>#DIV/0!</v>
      </c>
      <c r="F356" s="36" t="e">
        <f t="shared" si="100"/>
        <v>#DIV/0!</v>
      </c>
      <c r="G356" s="36" t="e">
        <f t="shared" si="101"/>
        <v>#DIV/0!</v>
      </c>
      <c r="H356" s="36" t="e">
        <f t="shared" si="102"/>
        <v>#DIV/0!</v>
      </c>
      <c r="W356" s="3"/>
      <c r="X356">
        <v>0.28499999999999898</v>
      </c>
      <c r="Y356" s="3" t="e">
        <f t="shared" si="91"/>
        <v>#DIV/0!</v>
      </c>
      <c r="Z356" s="36" t="e">
        <f t="shared" si="106"/>
        <v>#DIV/0!</v>
      </c>
      <c r="AA356" s="3" t="e">
        <f t="shared" si="103"/>
        <v>#DIV/0!</v>
      </c>
      <c r="AB356" s="36" t="e">
        <f t="shared" si="107"/>
        <v>#DIV/0!</v>
      </c>
      <c r="AC356" s="3" t="e">
        <f t="shared" si="108"/>
        <v>#DIV/0!</v>
      </c>
      <c r="AD356" s="36" t="e">
        <f t="shared" si="109"/>
        <v>#DIV/0!</v>
      </c>
      <c r="AE356" s="36" t="e">
        <f t="shared" si="110"/>
        <v>#DIV/0!</v>
      </c>
      <c r="AF356" s="36" t="e">
        <f t="shared" si="104"/>
        <v>#DIV/0!</v>
      </c>
      <c r="AG356" s="3" t="e">
        <f t="shared" si="105"/>
        <v>#DIV/0!</v>
      </c>
      <c r="AH356" s="36" t="e">
        <f t="shared" si="111"/>
        <v>#DIV/0!</v>
      </c>
      <c r="AI356" s="36" t="e">
        <f t="shared" si="112"/>
        <v>#DIV/0!</v>
      </c>
      <c r="AJ356" s="3" t="e">
        <f t="shared" si="113"/>
        <v>#DIV/0!</v>
      </c>
      <c r="AK356" s="36" t="e">
        <f t="shared" si="114"/>
        <v>#DIV/0!</v>
      </c>
      <c r="AL356" s="36" t="e">
        <f t="shared" si="115"/>
        <v>#DIV/0!</v>
      </c>
      <c r="AM356" s="36" t="e">
        <f t="shared" si="116"/>
        <v>#DIV/0!</v>
      </c>
      <c r="AU356"/>
    </row>
    <row r="357" spans="2:47" ht="15.95" customHeight="1">
      <c r="B357" s="41">
        <v>0.24</v>
      </c>
      <c r="C357" s="41" t="e">
        <f t="shared" si="97"/>
        <v>#DIV/0!</v>
      </c>
      <c r="D357" s="35" t="e">
        <f t="shared" si="98"/>
        <v>#DIV/0!</v>
      </c>
      <c r="E357" s="41" t="e">
        <f t="shared" si="99"/>
        <v>#DIV/0!</v>
      </c>
      <c r="F357" s="36" t="e">
        <f t="shared" si="100"/>
        <v>#DIV/0!</v>
      </c>
      <c r="G357" s="36" t="e">
        <f t="shared" si="101"/>
        <v>#DIV/0!</v>
      </c>
      <c r="H357" s="36" t="e">
        <f t="shared" si="102"/>
        <v>#DIV/0!</v>
      </c>
      <c r="W357" s="3"/>
      <c r="X357">
        <v>0.27999999999999903</v>
      </c>
      <c r="Y357" s="3" t="e">
        <f t="shared" ref="Y357:Y412" si="117">((-LN(X357))/$M$22)*10000</f>
        <v>#DIV/0!</v>
      </c>
      <c r="Z357" s="36" t="e">
        <f t="shared" si="106"/>
        <v>#DIV/0!</v>
      </c>
      <c r="AA357" s="3" t="e">
        <f t="shared" si="103"/>
        <v>#DIV/0!</v>
      </c>
      <c r="AB357" s="36" t="e">
        <f t="shared" si="107"/>
        <v>#DIV/0!</v>
      </c>
      <c r="AC357" s="3" t="e">
        <f t="shared" si="108"/>
        <v>#DIV/0!</v>
      </c>
      <c r="AD357" s="36" t="e">
        <f t="shared" si="109"/>
        <v>#DIV/0!</v>
      </c>
      <c r="AE357" s="36" t="e">
        <f t="shared" si="110"/>
        <v>#DIV/0!</v>
      </c>
      <c r="AF357" s="36" t="e">
        <f t="shared" si="104"/>
        <v>#DIV/0!</v>
      </c>
      <c r="AG357" s="3" t="e">
        <f t="shared" si="105"/>
        <v>#DIV/0!</v>
      </c>
      <c r="AH357" s="36" t="e">
        <f t="shared" si="111"/>
        <v>#DIV/0!</v>
      </c>
      <c r="AI357" s="36" t="e">
        <f t="shared" si="112"/>
        <v>#DIV/0!</v>
      </c>
      <c r="AJ357" s="3" t="e">
        <f t="shared" si="113"/>
        <v>#DIV/0!</v>
      </c>
      <c r="AK357" s="36" t="e">
        <f t="shared" si="114"/>
        <v>#DIV/0!</v>
      </c>
      <c r="AL357" s="36" t="e">
        <f t="shared" si="115"/>
        <v>#DIV/0!</v>
      </c>
      <c r="AM357" s="36" t="e">
        <f t="shared" si="116"/>
        <v>#DIV/0!</v>
      </c>
      <c r="AU357"/>
    </row>
    <row r="358" spans="2:47" ht="15.95" customHeight="1">
      <c r="B358" s="41">
        <v>0.245</v>
      </c>
      <c r="C358" s="41" t="e">
        <f t="shared" si="97"/>
        <v>#DIV/0!</v>
      </c>
      <c r="D358" s="35" t="e">
        <f t="shared" si="98"/>
        <v>#DIV/0!</v>
      </c>
      <c r="E358" s="41" t="e">
        <f t="shared" si="99"/>
        <v>#DIV/0!</v>
      </c>
      <c r="F358" s="36" t="e">
        <f t="shared" si="100"/>
        <v>#DIV/0!</v>
      </c>
      <c r="G358" s="36" t="e">
        <f t="shared" si="101"/>
        <v>#DIV/0!</v>
      </c>
      <c r="H358" s="36" t="e">
        <f t="shared" si="102"/>
        <v>#DIV/0!</v>
      </c>
      <c r="W358" s="3"/>
      <c r="X358">
        <v>0.27499999999999902</v>
      </c>
      <c r="Y358" s="3" t="e">
        <f t="shared" si="117"/>
        <v>#DIV/0!</v>
      </c>
      <c r="Z358" s="36" t="e">
        <f t="shared" si="106"/>
        <v>#DIV/0!</v>
      </c>
      <c r="AA358" s="3" t="e">
        <f t="shared" si="103"/>
        <v>#DIV/0!</v>
      </c>
      <c r="AB358" s="36" t="e">
        <f t="shared" si="107"/>
        <v>#DIV/0!</v>
      </c>
      <c r="AC358" s="3" t="e">
        <f t="shared" si="108"/>
        <v>#DIV/0!</v>
      </c>
      <c r="AD358" s="36" t="e">
        <f t="shared" si="109"/>
        <v>#DIV/0!</v>
      </c>
      <c r="AE358" s="36" t="e">
        <f t="shared" si="110"/>
        <v>#DIV/0!</v>
      </c>
      <c r="AF358" s="36" t="e">
        <f t="shared" si="104"/>
        <v>#DIV/0!</v>
      </c>
      <c r="AG358" s="3" t="e">
        <f t="shared" si="105"/>
        <v>#DIV/0!</v>
      </c>
      <c r="AH358" s="36" t="e">
        <f t="shared" si="111"/>
        <v>#DIV/0!</v>
      </c>
      <c r="AI358" s="36" t="e">
        <f t="shared" si="112"/>
        <v>#DIV/0!</v>
      </c>
      <c r="AJ358" s="3" t="e">
        <f t="shared" si="113"/>
        <v>#DIV/0!</v>
      </c>
      <c r="AK358" s="36" t="e">
        <f t="shared" si="114"/>
        <v>#DIV/0!</v>
      </c>
      <c r="AL358" s="36" t="e">
        <f t="shared" si="115"/>
        <v>#DIV/0!</v>
      </c>
      <c r="AM358" s="36" t="e">
        <f t="shared" si="116"/>
        <v>#DIV/0!</v>
      </c>
      <c r="AU358"/>
    </row>
    <row r="359" spans="2:47" ht="15.95" customHeight="1">
      <c r="B359" s="41">
        <v>0.25</v>
      </c>
      <c r="C359" s="41" t="e">
        <f t="shared" si="97"/>
        <v>#DIV/0!</v>
      </c>
      <c r="D359" s="35" t="e">
        <f t="shared" si="98"/>
        <v>#DIV/0!</v>
      </c>
      <c r="E359" s="41" t="e">
        <f t="shared" si="99"/>
        <v>#DIV/0!</v>
      </c>
      <c r="F359" s="36" t="e">
        <f t="shared" si="100"/>
        <v>#DIV/0!</v>
      </c>
      <c r="G359" s="36" t="e">
        <f t="shared" si="101"/>
        <v>#DIV/0!</v>
      </c>
      <c r="H359" s="36" t="e">
        <f t="shared" si="102"/>
        <v>#DIV/0!</v>
      </c>
      <c r="W359" s="3"/>
      <c r="X359">
        <v>0.26999999999999902</v>
      </c>
      <c r="Y359" s="3" t="e">
        <f t="shared" si="117"/>
        <v>#DIV/0!</v>
      </c>
      <c r="Z359" s="36" t="e">
        <f t="shared" si="106"/>
        <v>#DIV/0!</v>
      </c>
      <c r="AA359" s="3" t="e">
        <f t="shared" si="103"/>
        <v>#DIV/0!</v>
      </c>
      <c r="AB359" s="36" t="e">
        <f t="shared" si="107"/>
        <v>#DIV/0!</v>
      </c>
      <c r="AC359" s="3" t="e">
        <f t="shared" si="108"/>
        <v>#DIV/0!</v>
      </c>
      <c r="AD359" s="36" t="e">
        <f t="shared" si="109"/>
        <v>#DIV/0!</v>
      </c>
      <c r="AE359" s="36" t="e">
        <f t="shared" si="110"/>
        <v>#DIV/0!</v>
      </c>
      <c r="AF359" s="36" t="e">
        <f t="shared" si="104"/>
        <v>#DIV/0!</v>
      </c>
      <c r="AG359" s="3" t="e">
        <f t="shared" si="105"/>
        <v>#DIV/0!</v>
      </c>
      <c r="AH359" s="36" t="e">
        <f t="shared" si="111"/>
        <v>#DIV/0!</v>
      </c>
      <c r="AI359" s="36" t="e">
        <f t="shared" si="112"/>
        <v>#DIV/0!</v>
      </c>
      <c r="AJ359" s="3" t="e">
        <f t="shared" si="113"/>
        <v>#DIV/0!</v>
      </c>
      <c r="AK359" s="36" t="e">
        <f t="shared" si="114"/>
        <v>#DIV/0!</v>
      </c>
      <c r="AL359" s="36" t="e">
        <f t="shared" si="115"/>
        <v>#DIV/0!</v>
      </c>
      <c r="AM359" s="36" t="e">
        <f t="shared" si="116"/>
        <v>#DIV/0!</v>
      </c>
      <c r="AU359"/>
    </row>
    <row r="360" spans="2:47" ht="15.95" customHeight="1">
      <c r="B360" s="41">
        <v>0.255</v>
      </c>
      <c r="C360" s="41" t="e">
        <f t="shared" si="97"/>
        <v>#DIV/0!</v>
      </c>
      <c r="D360" s="35" t="e">
        <f t="shared" si="98"/>
        <v>#DIV/0!</v>
      </c>
      <c r="E360" s="41" t="e">
        <f t="shared" si="99"/>
        <v>#DIV/0!</v>
      </c>
      <c r="F360" s="36" t="e">
        <f t="shared" si="100"/>
        <v>#DIV/0!</v>
      </c>
      <c r="G360" s="36" t="e">
        <f t="shared" si="101"/>
        <v>#DIV/0!</v>
      </c>
      <c r="H360" s="36" t="e">
        <f t="shared" si="102"/>
        <v>#DIV/0!</v>
      </c>
      <c r="W360" s="3"/>
      <c r="X360">
        <v>0.26499999999999901</v>
      </c>
      <c r="Y360" s="3" t="e">
        <f t="shared" si="117"/>
        <v>#DIV/0!</v>
      </c>
      <c r="Z360" s="36" t="e">
        <f t="shared" si="106"/>
        <v>#DIV/0!</v>
      </c>
      <c r="AA360" s="3" t="e">
        <f t="shared" si="103"/>
        <v>#DIV/0!</v>
      </c>
      <c r="AB360" s="36" t="e">
        <f t="shared" si="107"/>
        <v>#DIV/0!</v>
      </c>
      <c r="AC360" s="3" t="e">
        <f t="shared" si="108"/>
        <v>#DIV/0!</v>
      </c>
      <c r="AD360" s="36" t="e">
        <f t="shared" si="109"/>
        <v>#DIV/0!</v>
      </c>
      <c r="AE360" s="36" t="e">
        <f t="shared" si="110"/>
        <v>#DIV/0!</v>
      </c>
      <c r="AF360" s="36" t="e">
        <f t="shared" si="104"/>
        <v>#DIV/0!</v>
      </c>
      <c r="AG360" s="3" t="e">
        <f t="shared" si="105"/>
        <v>#DIV/0!</v>
      </c>
      <c r="AH360" s="36" t="e">
        <f t="shared" si="111"/>
        <v>#DIV/0!</v>
      </c>
      <c r="AI360" s="36" t="e">
        <f t="shared" si="112"/>
        <v>#DIV/0!</v>
      </c>
      <c r="AJ360" s="3" t="e">
        <f t="shared" si="113"/>
        <v>#DIV/0!</v>
      </c>
      <c r="AK360" s="36" t="e">
        <f t="shared" si="114"/>
        <v>#DIV/0!</v>
      </c>
      <c r="AL360" s="36" t="e">
        <f t="shared" si="115"/>
        <v>#DIV/0!</v>
      </c>
      <c r="AM360" s="36" t="e">
        <f t="shared" si="116"/>
        <v>#DIV/0!</v>
      </c>
      <c r="AU360"/>
    </row>
    <row r="361" spans="2:47" ht="15.95" customHeight="1">
      <c r="B361" s="41">
        <v>0.26</v>
      </c>
      <c r="C361" s="41" t="e">
        <f t="shared" si="97"/>
        <v>#DIV/0!</v>
      </c>
      <c r="D361" s="35" t="e">
        <f t="shared" si="98"/>
        <v>#DIV/0!</v>
      </c>
      <c r="E361" s="41" t="e">
        <f t="shared" si="99"/>
        <v>#DIV/0!</v>
      </c>
      <c r="F361" s="36" t="e">
        <f t="shared" si="100"/>
        <v>#DIV/0!</v>
      </c>
      <c r="G361" s="36" t="e">
        <f t="shared" si="101"/>
        <v>#DIV/0!</v>
      </c>
      <c r="H361" s="36" t="e">
        <f t="shared" si="102"/>
        <v>#DIV/0!</v>
      </c>
      <c r="W361" s="3"/>
      <c r="X361">
        <v>0.25999999999999901</v>
      </c>
      <c r="Y361" s="3" t="e">
        <f t="shared" si="117"/>
        <v>#DIV/0!</v>
      </c>
      <c r="Z361" s="36" t="e">
        <f t="shared" si="106"/>
        <v>#DIV/0!</v>
      </c>
      <c r="AA361" s="3" t="e">
        <f t="shared" si="103"/>
        <v>#DIV/0!</v>
      </c>
      <c r="AB361" s="36" t="e">
        <f t="shared" si="107"/>
        <v>#DIV/0!</v>
      </c>
      <c r="AC361" s="3" t="e">
        <f t="shared" si="108"/>
        <v>#DIV/0!</v>
      </c>
      <c r="AD361" s="36" t="e">
        <f t="shared" si="109"/>
        <v>#DIV/0!</v>
      </c>
      <c r="AE361" s="36" t="e">
        <f t="shared" si="110"/>
        <v>#DIV/0!</v>
      </c>
      <c r="AF361" s="36" t="e">
        <f t="shared" si="104"/>
        <v>#DIV/0!</v>
      </c>
      <c r="AG361" s="3" t="e">
        <f t="shared" si="105"/>
        <v>#DIV/0!</v>
      </c>
      <c r="AH361" s="36" t="e">
        <f t="shared" si="111"/>
        <v>#DIV/0!</v>
      </c>
      <c r="AI361" s="36" t="e">
        <f t="shared" si="112"/>
        <v>#DIV/0!</v>
      </c>
      <c r="AJ361" s="3" t="e">
        <f t="shared" si="113"/>
        <v>#DIV/0!</v>
      </c>
      <c r="AK361" s="36" t="e">
        <f t="shared" si="114"/>
        <v>#DIV/0!</v>
      </c>
      <c r="AL361" s="36" t="e">
        <f t="shared" si="115"/>
        <v>#DIV/0!</v>
      </c>
      <c r="AM361" s="36" t="e">
        <f t="shared" si="116"/>
        <v>#DIV/0!</v>
      </c>
      <c r="AU361"/>
    </row>
    <row r="362" spans="2:47" ht="15.95" customHeight="1">
      <c r="B362" s="41">
        <v>0.26500000000000001</v>
      </c>
      <c r="C362" s="41" t="e">
        <f t="shared" si="97"/>
        <v>#DIV/0!</v>
      </c>
      <c r="D362" s="35" t="e">
        <f t="shared" si="98"/>
        <v>#DIV/0!</v>
      </c>
      <c r="E362" s="41" t="e">
        <f t="shared" si="99"/>
        <v>#DIV/0!</v>
      </c>
      <c r="F362" s="36" t="e">
        <f t="shared" si="100"/>
        <v>#DIV/0!</v>
      </c>
      <c r="G362" s="36" t="e">
        <f t="shared" si="101"/>
        <v>#DIV/0!</v>
      </c>
      <c r="H362" s="36" t="e">
        <f t="shared" si="102"/>
        <v>#DIV/0!</v>
      </c>
      <c r="W362" s="3"/>
      <c r="X362">
        <v>0.25499999999999901</v>
      </c>
      <c r="Y362" s="3" t="e">
        <f t="shared" si="117"/>
        <v>#DIV/0!</v>
      </c>
      <c r="Z362" s="36" t="e">
        <f t="shared" si="106"/>
        <v>#DIV/0!</v>
      </c>
      <c r="AA362" s="3" t="e">
        <f t="shared" si="103"/>
        <v>#DIV/0!</v>
      </c>
      <c r="AB362" s="36" t="e">
        <f t="shared" si="107"/>
        <v>#DIV/0!</v>
      </c>
      <c r="AC362" s="3" t="e">
        <f t="shared" si="108"/>
        <v>#DIV/0!</v>
      </c>
      <c r="AD362" s="36" t="e">
        <f t="shared" si="109"/>
        <v>#DIV/0!</v>
      </c>
      <c r="AE362" s="36" t="e">
        <f t="shared" si="110"/>
        <v>#DIV/0!</v>
      </c>
      <c r="AF362" s="36" t="e">
        <f t="shared" si="104"/>
        <v>#DIV/0!</v>
      </c>
      <c r="AG362" s="3" t="e">
        <f t="shared" si="105"/>
        <v>#DIV/0!</v>
      </c>
      <c r="AH362" s="36" t="e">
        <f t="shared" si="111"/>
        <v>#DIV/0!</v>
      </c>
      <c r="AI362" s="36" t="e">
        <f t="shared" si="112"/>
        <v>#DIV/0!</v>
      </c>
      <c r="AJ362" s="3" t="e">
        <f t="shared" si="113"/>
        <v>#DIV/0!</v>
      </c>
      <c r="AK362" s="36" t="e">
        <f t="shared" si="114"/>
        <v>#DIV/0!</v>
      </c>
      <c r="AL362" s="36" t="e">
        <f t="shared" si="115"/>
        <v>#DIV/0!</v>
      </c>
      <c r="AM362" s="36" t="e">
        <f t="shared" si="116"/>
        <v>#DIV/0!</v>
      </c>
      <c r="AU362"/>
    </row>
    <row r="363" spans="2:47" ht="15.95" customHeight="1">
      <c r="B363" s="41">
        <v>0.27</v>
      </c>
      <c r="C363" s="41" t="e">
        <f t="shared" si="97"/>
        <v>#DIV/0!</v>
      </c>
      <c r="D363" s="35" t="e">
        <f t="shared" si="98"/>
        <v>#DIV/0!</v>
      </c>
      <c r="E363" s="41" t="e">
        <f t="shared" si="99"/>
        <v>#DIV/0!</v>
      </c>
      <c r="F363" s="36" t="e">
        <f t="shared" si="100"/>
        <v>#DIV/0!</v>
      </c>
      <c r="G363" s="36" t="e">
        <f t="shared" si="101"/>
        <v>#DIV/0!</v>
      </c>
      <c r="H363" s="36" t="e">
        <f t="shared" si="102"/>
        <v>#DIV/0!</v>
      </c>
      <c r="W363" s="3"/>
      <c r="X363">
        <v>0.249999999999999</v>
      </c>
      <c r="Y363" s="3" t="e">
        <f t="shared" si="117"/>
        <v>#DIV/0!</v>
      </c>
      <c r="Z363" s="36" t="e">
        <f t="shared" si="106"/>
        <v>#DIV/0!</v>
      </c>
      <c r="AA363" s="3" t="e">
        <f t="shared" si="103"/>
        <v>#DIV/0!</v>
      </c>
      <c r="AB363" s="36" t="e">
        <f t="shared" si="107"/>
        <v>#DIV/0!</v>
      </c>
      <c r="AC363" s="3" t="e">
        <f t="shared" si="108"/>
        <v>#DIV/0!</v>
      </c>
      <c r="AD363" s="36" t="e">
        <f t="shared" si="109"/>
        <v>#DIV/0!</v>
      </c>
      <c r="AE363" s="36" t="e">
        <f t="shared" si="110"/>
        <v>#DIV/0!</v>
      </c>
      <c r="AF363" s="36" t="e">
        <f t="shared" si="104"/>
        <v>#DIV/0!</v>
      </c>
      <c r="AG363" s="3" t="e">
        <f t="shared" si="105"/>
        <v>#DIV/0!</v>
      </c>
      <c r="AH363" s="36" t="e">
        <f t="shared" si="111"/>
        <v>#DIV/0!</v>
      </c>
      <c r="AI363" s="36" t="e">
        <f t="shared" si="112"/>
        <v>#DIV/0!</v>
      </c>
      <c r="AJ363" s="3" t="e">
        <f t="shared" si="113"/>
        <v>#DIV/0!</v>
      </c>
      <c r="AK363" s="36" t="e">
        <f t="shared" si="114"/>
        <v>#DIV/0!</v>
      </c>
      <c r="AL363" s="36" t="e">
        <f t="shared" si="115"/>
        <v>#DIV/0!</v>
      </c>
      <c r="AM363" s="36" t="e">
        <f t="shared" si="116"/>
        <v>#DIV/0!</v>
      </c>
      <c r="AU363"/>
    </row>
    <row r="364" spans="2:47" ht="15.95" customHeight="1">
      <c r="B364" s="41">
        <v>0.27500000000000002</v>
      </c>
      <c r="C364" s="41" t="e">
        <f t="shared" si="97"/>
        <v>#DIV/0!</v>
      </c>
      <c r="D364" s="35" t="e">
        <f t="shared" si="98"/>
        <v>#DIV/0!</v>
      </c>
      <c r="E364" s="41" t="e">
        <f t="shared" si="99"/>
        <v>#DIV/0!</v>
      </c>
      <c r="F364" s="36" t="e">
        <f t="shared" si="100"/>
        <v>#DIV/0!</v>
      </c>
      <c r="G364" s="36" t="e">
        <f t="shared" si="101"/>
        <v>#DIV/0!</v>
      </c>
      <c r="H364" s="36" t="e">
        <f t="shared" si="102"/>
        <v>#DIV/0!</v>
      </c>
      <c r="W364" s="3"/>
      <c r="X364">
        <v>0.244999999999999</v>
      </c>
      <c r="Y364" s="3" t="e">
        <f t="shared" si="117"/>
        <v>#DIV/0!</v>
      </c>
      <c r="Z364" s="36" t="e">
        <f t="shared" si="106"/>
        <v>#DIV/0!</v>
      </c>
      <c r="AA364" s="3" t="e">
        <f t="shared" si="103"/>
        <v>#DIV/0!</v>
      </c>
      <c r="AB364" s="36" t="e">
        <f t="shared" si="107"/>
        <v>#DIV/0!</v>
      </c>
      <c r="AC364" s="3" t="e">
        <f t="shared" si="108"/>
        <v>#DIV/0!</v>
      </c>
      <c r="AD364" s="36" t="e">
        <f t="shared" si="109"/>
        <v>#DIV/0!</v>
      </c>
      <c r="AE364" s="36" t="e">
        <f t="shared" si="110"/>
        <v>#DIV/0!</v>
      </c>
      <c r="AF364" s="36" t="e">
        <f t="shared" si="104"/>
        <v>#DIV/0!</v>
      </c>
      <c r="AG364" s="3" t="e">
        <f t="shared" si="105"/>
        <v>#DIV/0!</v>
      </c>
      <c r="AH364" s="36" t="e">
        <f t="shared" si="111"/>
        <v>#DIV/0!</v>
      </c>
      <c r="AI364" s="36" t="e">
        <f t="shared" si="112"/>
        <v>#DIV/0!</v>
      </c>
      <c r="AJ364" s="3" t="e">
        <f t="shared" si="113"/>
        <v>#DIV/0!</v>
      </c>
      <c r="AK364" s="36" t="e">
        <f t="shared" si="114"/>
        <v>#DIV/0!</v>
      </c>
      <c r="AL364" s="36" t="e">
        <f t="shared" si="115"/>
        <v>#DIV/0!</v>
      </c>
      <c r="AM364" s="36" t="e">
        <f t="shared" si="116"/>
        <v>#DIV/0!</v>
      </c>
      <c r="AU364"/>
    </row>
    <row r="365" spans="2:47" ht="15.95" customHeight="1">
      <c r="B365" s="41">
        <v>0.28000000000000003</v>
      </c>
      <c r="C365" s="41" t="e">
        <f t="shared" si="97"/>
        <v>#DIV/0!</v>
      </c>
      <c r="D365" s="35" t="e">
        <f t="shared" si="98"/>
        <v>#DIV/0!</v>
      </c>
      <c r="E365" s="41" t="e">
        <f t="shared" si="99"/>
        <v>#DIV/0!</v>
      </c>
      <c r="F365" s="36" t="e">
        <f t="shared" si="100"/>
        <v>#DIV/0!</v>
      </c>
      <c r="G365" s="36" t="e">
        <f t="shared" si="101"/>
        <v>#DIV/0!</v>
      </c>
      <c r="H365" s="36" t="e">
        <f t="shared" si="102"/>
        <v>#DIV/0!</v>
      </c>
      <c r="W365" s="3"/>
      <c r="X365">
        <v>0.23999999999999899</v>
      </c>
      <c r="Y365" s="3" t="e">
        <f t="shared" si="117"/>
        <v>#DIV/0!</v>
      </c>
      <c r="Z365" s="36" t="e">
        <f t="shared" si="106"/>
        <v>#DIV/0!</v>
      </c>
      <c r="AA365" s="3" t="e">
        <f t="shared" si="103"/>
        <v>#DIV/0!</v>
      </c>
      <c r="AB365" s="36" t="e">
        <f t="shared" si="107"/>
        <v>#DIV/0!</v>
      </c>
      <c r="AC365" s="3" t="e">
        <f t="shared" si="108"/>
        <v>#DIV/0!</v>
      </c>
      <c r="AD365" s="36" t="e">
        <f t="shared" si="109"/>
        <v>#DIV/0!</v>
      </c>
      <c r="AE365" s="36" t="e">
        <f t="shared" si="110"/>
        <v>#DIV/0!</v>
      </c>
      <c r="AF365" s="36" t="e">
        <f t="shared" si="104"/>
        <v>#DIV/0!</v>
      </c>
      <c r="AG365" s="3" t="e">
        <f t="shared" si="105"/>
        <v>#DIV/0!</v>
      </c>
      <c r="AH365" s="36" t="e">
        <f t="shared" si="111"/>
        <v>#DIV/0!</v>
      </c>
      <c r="AI365" s="36" t="e">
        <f t="shared" si="112"/>
        <v>#DIV/0!</v>
      </c>
      <c r="AJ365" s="3" t="e">
        <f t="shared" si="113"/>
        <v>#DIV/0!</v>
      </c>
      <c r="AK365" s="36" t="e">
        <f t="shared" si="114"/>
        <v>#DIV/0!</v>
      </c>
      <c r="AL365" s="36" t="e">
        <f t="shared" si="115"/>
        <v>#DIV/0!</v>
      </c>
      <c r="AM365" s="36" t="e">
        <f t="shared" si="116"/>
        <v>#DIV/0!</v>
      </c>
      <c r="AU365"/>
    </row>
    <row r="366" spans="2:47" ht="15.95" customHeight="1">
      <c r="B366" s="41">
        <v>0.28499999999999998</v>
      </c>
      <c r="C366" s="41" t="e">
        <f t="shared" si="97"/>
        <v>#DIV/0!</v>
      </c>
      <c r="D366" s="35" t="e">
        <f t="shared" si="98"/>
        <v>#DIV/0!</v>
      </c>
      <c r="E366" s="41" t="e">
        <f t="shared" si="99"/>
        <v>#DIV/0!</v>
      </c>
      <c r="F366" s="36" t="e">
        <f t="shared" si="100"/>
        <v>#DIV/0!</v>
      </c>
      <c r="G366" s="36" t="e">
        <f t="shared" si="101"/>
        <v>#DIV/0!</v>
      </c>
      <c r="H366" s="36" t="e">
        <f t="shared" si="102"/>
        <v>#DIV/0!</v>
      </c>
      <c r="W366" s="3"/>
      <c r="X366">
        <v>0.23499999999999899</v>
      </c>
      <c r="Y366" s="3" t="e">
        <f t="shared" si="117"/>
        <v>#DIV/0!</v>
      </c>
      <c r="Z366" s="36" t="e">
        <f t="shared" si="106"/>
        <v>#DIV/0!</v>
      </c>
      <c r="AA366" s="3" t="e">
        <f t="shared" si="103"/>
        <v>#DIV/0!</v>
      </c>
      <c r="AB366" s="36" t="e">
        <f t="shared" si="107"/>
        <v>#DIV/0!</v>
      </c>
      <c r="AC366" s="3" t="e">
        <f t="shared" si="108"/>
        <v>#DIV/0!</v>
      </c>
      <c r="AD366" s="36" t="e">
        <f t="shared" si="109"/>
        <v>#DIV/0!</v>
      </c>
      <c r="AE366" s="36" t="e">
        <f t="shared" si="110"/>
        <v>#DIV/0!</v>
      </c>
      <c r="AF366" s="36" t="e">
        <f t="shared" si="104"/>
        <v>#DIV/0!</v>
      </c>
      <c r="AG366" s="3" t="e">
        <f t="shared" si="105"/>
        <v>#DIV/0!</v>
      </c>
      <c r="AH366" s="36" t="e">
        <f t="shared" si="111"/>
        <v>#DIV/0!</v>
      </c>
      <c r="AI366" s="36" t="e">
        <f t="shared" si="112"/>
        <v>#DIV/0!</v>
      </c>
      <c r="AJ366" s="3" t="e">
        <f t="shared" si="113"/>
        <v>#DIV/0!</v>
      </c>
      <c r="AK366" s="36" t="e">
        <f t="shared" si="114"/>
        <v>#DIV/0!</v>
      </c>
      <c r="AL366" s="36" t="e">
        <f t="shared" si="115"/>
        <v>#DIV/0!</v>
      </c>
      <c r="AM366" s="36" t="e">
        <f t="shared" si="116"/>
        <v>#DIV/0!</v>
      </c>
      <c r="AU366"/>
    </row>
    <row r="367" spans="2:47" ht="15.95" customHeight="1">
      <c r="B367" s="41">
        <v>0.28999999999999998</v>
      </c>
      <c r="C367" s="41" t="e">
        <f t="shared" si="97"/>
        <v>#DIV/0!</v>
      </c>
      <c r="D367" s="35" t="e">
        <f t="shared" si="98"/>
        <v>#DIV/0!</v>
      </c>
      <c r="E367" s="41" t="e">
        <f t="shared" si="99"/>
        <v>#DIV/0!</v>
      </c>
      <c r="F367" s="36" t="e">
        <f t="shared" si="100"/>
        <v>#DIV/0!</v>
      </c>
      <c r="G367" s="36" t="e">
        <f t="shared" si="101"/>
        <v>#DIV/0!</v>
      </c>
      <c r="H367" s="36" t="e">
        <f t="shared" si="102"/>
        <v>#DIV/0!</v>
      </c>
      <c r="W367" s="3"/>
      <c r="X367">
        <v>0.22999999999999901</v>
      </c>
      <c r="Y367" s="3" t="e">
        <f t="shared" si="117"/>
        <v>#DIV/0!</v>
      </c>
      <c r="Z367" s="36" t="e">
        <f t="shared" si="106"/>
        <v>#DIV/0!</v>
      </c>
      <c r="AA367" s="3" t="e">
        <f t="shared" si="103"/>
        <v>#DIV/0!</v>
      </c>
      <c r="AB367" s="36" t="e">
        <f t="shared" si="107"/>
        <v>#DIV/0!</v>
      </c>
      <c r="AC367" s="3" t="e">
        <f t="shared" si="108"/>
        <v>#DIV/0!</v>
      </c>
      <c r="AD367" s="36" t="e">
        <f t="shared" si="109"/>
        <v>#DIV/0!</v>
      </c>
      <c r="AE367" s="36" t="e">
        <f t="shared" si="110"/>
        <v>#DIV/0!</v>
      </c>
      <c r="AF367" s="36" t="e">
        <f t="shared" si="104"/>
        <v>#DIV/0!</v>
      </c>
      <c r="AG367" s="3" t="e">
        <f t="shared" si="105"/>
        <v>#DIV/0!</v>
      </c>
      <c r="AH367" s="36" t="e">
        <f t="shared" si="111"/>
        <v>#DIV/0!</v>
      </c>
      <c r="AI367" s="36" t="e">
        <f t="shared" si="112"/>
        <v>#DIV/0!</v>
      </c>
      <c r="AJ367" s="3" t="e">
        <f t="shared" si="113"/>
        <v>#DIV/0!</v>
      </c>
      <c r="AK367" s="36" t="e">
        <f t="shared" si="114"/>
        <v>#DIV/0!</v>
      </c>
      <c r="AL367" s="36" t="e">
        <f t="shared" si="115"/>
        <v>#DIV/0!</v>
      </c>
      <c r="AM367" s="36" t="e">
        <f t="shared" si="116"/>
        <v>#DIV/0!</v>
      </c>
      <c r="AU367"/>
    </row>
    <row r="368" spans="2:47" ht="15.95" customHeight="1">
      <c r="B368" s="41">
        <v>0.29499999999999998</v>
      </c>
      <c r="C368" s="41" t="e">
        <f t="shared" si="97"/>
        <v>#DIV/0!</v>
      </c>
      <c r="D368" s="35" t="e">
        <f t="shared" si="98"/>
        <v>#DIV/0!</v>
      </c>
      <c r="E368" s="41" t="e">
        <f t="shared" si="99"/>
        <v>#DIV/0!</v>
      </c>
      <c r="F368" s="36" t="e">
        <f t="shared" si="100"/>
        <v>#DIV/0!</v>
      </c>
      <c r="G368" s="36" t="e">
        <f t="shared" si="101"/>
        <v>#DIV/0!</v>
      </c>
      <c r="H368" s="36" t="e">
        <f t="shared" si="102"/>
        <v>#DIV/0!</v>
      </c>
      <c r="W368" s="3"/>
      <c r="X368">
        <v>0.22499999999999901</v>
      </c>
      <c r="Y368" s="3" t="e">
        <f t="shared" si="117"/>
        <v>#DIV/0!</v>
      </c>
      <c r="Z368" s="36" t="e">
        <f t="shared" si="106"/>
        <v>#DIV/0!</v>
      </c>
      <c r="AA368" s="3" t="e">
        <f t="shared" si="103"/>
        <v>#DIV/0!</v>
      </c>
      <c r="AB368" s="36" t="e">
        <f t="shared" si="107"/>
        <v>#DIV/0!</v>
      </c>
      <c r="AC368" s="3" t="e">
        <f t="shared" si="108"/>
        <v>#DIV/0!</v>
      </c>
      <c r="AD368" s="36" t="e">
        <f t="shared" si="109"/>
        <v>#DIV/0!</v>
      </c>
      <c r="AE368" s="36" t="e">
        <f t="shared" si="110"/>
        <v>#DIV/0!</v>
      </c>
      <c r="AF368" s="36" t="e">
        <f t="shared" si="104"/>
        <v>#DIV/0!</v>
      </c>
      <c r="AG368" s="3" t="e">
        <f t="shared" si="105"/>
        <v>#DIV/0!</v>
      </c>
      <c r="AH368" s="36" t="e">
        <f t="shared" si="111"/>
        <v>#DIV/0!</v>
      </c>
      <c r="AI368" s="36" t="e">
        <f t="shared" si="112"/>
        <v>#DIV/0!</v>
      </c>
      <c r="AJ368" s="3" t="e">
        <f t="shared" si="113"/>
        <v>#DIV/0!</v>
      </c>
      <c r="AK368" s="36" t="e">
        <f t="shared" si="114"/>
        <v>#DIV/0!</v>
      </c>
      <c r="AL368" s="36" t="e">
        <f t="shared" si="115"/>
        <v>#DIV/0!</v>
      </c>
      <c r="AM368" s="36" t="e">
        <f t="shared" si="116"/>
        <v>#DIV/0!</v>
      </c>
      <c r="AU368"/>
    </row>
    <row r="369" spans="2:47" ht="15.95" customHeight="1">
      <c r="B369" s="41">
        <v>0.3</v>
      </c>
      <c r="C369" s="41" t="e">
        <f t="shared" si="97"/>
        <v>#DIV/0!</v>
      </c>
      <c r="D369" s="35" t="e">
        <f t="shared" si="98"/>
        <v>#DIV/0!</v>
      </c>
      <c r="E369" s="41" t="e">
        <f t="shared" si="99"/>
        <v>#DIV/0!</v>
      </c>
      <c r="F369" s="36" t="e">
        <f t="shared" si="100"/>
        <v>#DIV/0!</v>
      </c>
      <c r="G369" s="36" t="e">
        <f t="shared" si="101"/>
        <v>#DIV/0!</v>
      </c>
      <c r="H369" s="36" t="e">
        <f t="shared" si="102"/>
        <v>#DIV/0!</v>
      </c>
      <c r="W369" s="3"/>
      <c r="X369">
        <v>0.219999999999999</v>
      </c>
      <c r="Y369" s="3" t="e">
        <f t="shared" si="117"/>
        <v>#DIV/0!</v>
      </c>
      <c r="Z369" s="36" t="e">
        <f t="shared" si="106"/>
        <v>#DIV/0!</v>
      </c>
      <c r="AA369" s="3" t="e">
        <f t="shared" si="103"/>
        <v>#DIV/0!</v>
      </c>
      <c r="AB369" s="36" t="e">
        <f t="shared" si="107"/>
        <v>#DIV/0!</v>
      </c>
      <c r="AC369" s="3" t="e">
        <f t="shared" si="108"/>
        <v>#DIV/0!</v>
      </c>
      <c r="AD369" s="36" t="e">
        <f t="shared" si="109"/>
        <v>#DIV/0!</v>
      </c>
      <c r="AE369" s="36" t="e">
        <f t="shared" si="110"/>
        <v>#DIV/0!</v>
      </c>
      <c r="AF369" s="36" t="e">
        <f t="shared" si="104"/>
        <v>#DIV/0!</v>
      </c>
      <c r="AG369" s="3" t="e">
        <f t="shared" si="105"/>
        <v>#DIV/0!</v>
      </c>
      <c r="AH369" s="36" t="e">
        <f t="shared" si="111"/>
        <v>#DIV/0!</v>
      </c>
      <c r="AI369" s="36" t="e">
        <f t="shared" si="112"/>
        <v>#DIV/0!</v>
      </c>
      <c r="AJ369" s="3" t="e">
        <f t="shared" si="113"/>
        <v>#DIV/0!</v>
      </c>
      <c r="AK369" s="36" t="e">
        <f t="shared" si="114"/>
        <v>#DIV/0!</v>
      </c>
      <c r="AL369" s="36" t="e">
        <f t="shared" si="115"/>
        <v>#DIV/0!</v>
      </c>
      <c r="AM369" s="36" t="e">
        <f t="shared" si="116"/>
        <v>#DIV/0!</v>
      </c>
      <c r="AU369"/>
    </row>
    <row r="370" spans="2:47" ht="15.95" customHeight="1">
      <c r="B370" s="41">
        <v>0.30499999999999999</v>
      </c>
      <c r="C370" s="41" t="e">
        <f t="shared" si="97"/>
        <v>#DIV/0!</v>
      </c>
      <c r="D370" s="35" t="e">
        <f t="shared" si="98"/>
        <v>#DIV/0!</v>
      </c>
      <c r="E370" s="41" t="e">
        <f t="shared" si="99"/>
        <v>#DIV/0!</v>
      </c>
      <c r="F370" s="36" t="e">
        <f t="shared" si="100"/>
        <v>#DIV/0!</v>
      </c>
      <c r="G370" s="36" t="e">
        <f t="shared" si="101"/>
        <v>#DIV/0!</v>
      </c>
      <c r="H370" s="36" t="e">
        <f t="shared" si="102"/>
        <v>#DIV/0!</v>
      </c>
      <c r="W370" s="3"/>
      <c r="X370">
        <v>0.214999999999999</v>
      </c>
      <c r="Y370" s="3" t="e">
        <f t="shared" si="117"/>
        <v>#DIV/0!</v>
      </c>
      <c r="Z370" s="36" t="e">
        <f t="shared" si="106"/>
        <v>#DIV/0!</v>
      </c>
      <c r="AA370" s="3" t="e">
        <f t="shared" si="103"/>
        <v>#DIV/0!</v>
      </c>
      <c r="AB370" s="36" t="e">
        <f t="shared" si="107"/>
        <v>#DIV/0!</v>
      </c>
      <c r="AC370" s="3" t="e">
        <f t="shared" si="108"/>
        <v>#DIV/0!</v>
      </c>
      <c r="AD370" s="36" t="e">
        <f t="shared" si="109"/>
        <v>#DIV/0!</v>
      </c>
      <c r="AE370" s="36" t="e">
        <f t="shared" si="110"/>
        <v>#DIV/0!</v>
      </c>
      <c r="AF370" s="36" t="e">
        <f t="shared" si="104"/>
        <v>#DIV/0!</v>
      </c>
      <c r="AG370" s="3" t="e">
        <f t="shared" si="105"/>
        <v>#DIV/0!</v>
      </c>
      <c r="AH370" s="36" t="e">
        <f t="shared" si="111"/>
        <v>#DIV/0!</v>
      </c>
      <c r="AI370" s="36" t="e">
        <f t="shared" si="112"/>
        <v>#DIV/0!</v>
      </c>
      <c r="AJ370" s="3" t="e">
        <f t="shared" si="113"/>
        <v>#DIV/0!</v>
      </c>
      <c r="AK370" s="36" t="e">
        <f t="shared" si="114"/>
        <v>#DIV/0!</v>
      </c>
      <c r="AL370" s="36" t="e">
        <f t="shared" si="115"/>
        <v>#DIV/0!</v>
      </c>
      <c r="AM370" s="36" t="e">
        <f t="shared" si="116"/>
        <v>#DIV/0!</v>
      </c>
      <c r="AU370"/>
    </row>
    <row r="371" spans="2:47" ht="15.95" customHeight="1">
      <c r="B371" s="41">
        <v>0.31</v>
      </c>
      <c r="C371" s="41" t="e">
        <f t="shared" si="97"/>
        <v>#DIV/0!</v>
      </c>
      <c r="D371" s="35" t="e">
        <f t="shared" si="98"/>
        <v>#DIV/0!</v>
      </c>
      <c r="E371" s="41" t="e">
        <f t="shared" si="99"/>
        <v>#DIV/0!</v>
      </c>
      <c r="F371" s="36" t="e">
        <f t="shared" si="100"/>
        <v>#DIV/0!</v>
      </c>
      <c r="G371" s="36" t="e">
        <f t="shared" si="101"/>
        <v>#DIV/0!</v>
      </c>
      <c r="H371" s="36" t="e">
        <f t="shared" si="102"/>
        <v>#DIV/0!</v>
      </c>
      <c r="W371" s="3"/>
      <c r="X371">
        <v>0.20999999999999899</v>
      </c>
      <c r="Y371" s="3" t="e">
        <f t="shared" si="117"/>
        <v>#DIV/0!</v>
      </c>
      <c r="Z371" s="36" t="e">
        <f t="shared" si="106"/>
        <v>#DIV/0!</v>
      </c>
      <c r="AA371" s="3" t="e">
        <f t="shared" si="103"/>
        <v>#DIV/0!</v>
      </c>
      <c r="AB371" s="36" t="e">
        <f t="shared" si="107"/>
        <v>#DIV/0!</v>
      </c>
      <c r="AC371" s="3" t="e">
        <f t="shared" si="108"/>
        <v>#DIV/0!</v>
      </c>
      <c r="AD371" s="36" t="e">
        <f t="shared" si="109"/>
        <v>#DIV/0!</v>
      </c>
      <c r="AE371" s="36" t="e">
        <f t="shared" si="110"/>
        <v>#DIV/0!</v>
      </c>
      <c r="AF371" s="36" t="e">
        <f t="shared" si="104"/>
        <v>#DIV/0!</v>
      </c>
      <c r="AG371" s="3" t="e">
        <f t="shared" si="105"/>
        <v>#DIV/0!</v>
      </c>
      <c r="AH371" s="36" t="e">
        <f t="shared" si="111"/>
        <v>#DIV/0!</v>
      </c>
      <c r="AI371" s="36" t="e">
        <f t="shared" si="112"/>
        <v>#DIV/0!</v>
      </c>
      <c r="AJ371" s="3" t="e">
        <f t="shared" si="113"/>
        <v>#DIV/0!</v>
      </c>
      <c r="AK371" s="36" t="e">
        <f t="shared" si="114"/>
        <v>#DIV/0!</v>
      </c>
      <c r="AL371" s="36" t="e">
        <f t="shared" si="115"/>
        <v>#DIV/0!</v>
      </c>
      <c r="AM371" s="36" t="e">
        <f t="shared" si="116"/>
        <v>#DIV/0!</v>
      </c>
      <c r="AU371"/>
    </row>
    <row r="372" spans="2:47" ht="15.95" customHeight="1">
      <c r="B372" s="41">
        <v>0.315</v>
      </c>
      <c r="C372" s="41" t="e">
        <f t="shared" si="97"/>
        <v>#DIV/0!</v>
      </c>
      <c r="D372" s="35" t="e">
        <f t="shared" si="98"/>
        <v>#DIV/0!</v>
      </c>
      <c r="E372" s="41" t="e">
        <f t="shared" si="99"/>
        <v>#DIV/0!</v>
      </c>
      <c r="F372" s="36" t="e">
        <f t="shared" si="100"/>
        <v>#DIV/0!</v>
      </c>
      <c r="G372" s="36" t="e">
        <f t="shared" si="101"/>
        <v>#DIV/0!</v>
      </c>
      <c r="H372" s="36" t="e">
        <f t="shared" si="102"/>
        <v>#DIV/0!</v>
      </c>
      <c r="W372" s="3"/>
      <c r="X372">
        <v>0.20499999999999899</v>
      </c>
      <c r="Y372" s="3" t="e">
        <f t="shared" si="117"/>
        <v>#DIV/0!</v>
      </c>
      <c r="Z372" s="36" t="e">
        <f t="shared" si="106"/>
        <v>#DIV/0!</v>
      </c>
      <c r="AA372" s="3" t="e">
        <f t="shared" si="103"/>
        <v>#DIV/0!</v>
      </c>
      <c r="AB372" s="36" t="e">
        <f t="shared" si="107"/>
        <v>#DIV/0!</v>
      </c>
      <c r="AC372" s="3" t="e">
        <f t="shared" si="108"/>
        <v>#DIV/0!</v>
      </c>
      <c r="AD372" s="36" t="e">
        <f t="shared" si="109"/>
        <v>#DIV/0!</v>
      </c>
      <c r="AE372" s="36" t="e">
        <f t="shared" si="110"/>
        <v>#DIV/0!</v>
      </c>
      <c r="AF372" s="36" t="e">
        <f t="shared" si="104"/>
        <v>#DIV/0!</v>
      </c>
      <c r="AG372" s="3" t="e">
        <f t="shared" si="105"/>
        <v>#DIV/0!</v>
      </c>
      <c r="AH372" s="36" t="e">
        <f t="shared" si="111"/>
        <v>#DIV/0!</v>
      </c>
      <c r="AI372" s="36" t="e">
        <f t="shared" si="112"/>
        <v>#DIV/0!</v>
      </c>
      <c r="AJ372" s="3" t="e">
        <f t="shared" si="113"/>
        <v>#DIV/0!</v>
      </c>
      <c r="AK372" s="36" t="e">
        <f t="shared" si="114"/>
        <v>#DIV/0!</v>
      </c>
      <c r="AL372" s="36" t="e">
        <f t="shared" si="115"/>
        <v>#DIV/0!</v>
      </c>
      <c r="AM372" s="36" t="e">
        <f t="shared" si="116"/>
        <v>#DIV/0!</v>
      </c>
      <c r="AU372"/>
    </row>
    <row r="373" spans="2:47" ht="15.95" customHeight="1">
      <c r="B373" s="41">
        <v>0.32</v>
      </c>
      <c r="C373" s="41" t="e">
        <f t="shared" si="97"/>
        <v>#DIV/0!</v>
      </c>
      <c r="D373" s="35" t="e">
        <f t="shared" si="98"/>
        <v>#DIV/0!</v>
      </c>
      <c r="E373" s="41" t="e">
        <f t="shared" si="99"/>
        <v>#DIV/0!</v>
      </c>
      <c r="F373" s="36" t="e">
        <f t="shared" si="100"/>
        <v>#DIV/0!</v>
      </c>
      <c r="G373" s="36" t="e">
        <f t="shared" si="101"/>
        <v>#DIV/0!</v>
      </c>
      <c r="H373" s="36" t="e">
        <f t="shared" si="102"/>
        <v>#DIV/0!</v>
      </c>
      <c r="W373" s="3"/>
      <c r="X373">
        <v>0.19999999999999901</v>
      </c>
      <c r="Y373" s="3" t="e">
        <f t="shared" si="117"/>
        <v>#DIV/0!</v>
      </c>
      <c r="Z373" s="36" t="e">
        <f t="shared" si="106"/>
        <v>#DIV/0!</v>
      </c>
      <c r="AA373" s="3" t="e">
        <f t="shared" ref="AA373:AA404" si="118">Z373/SIN((0.5*$H$15*PI()/180))</f>
        <v>#DIV/0!</v>
      </c>
      <c r="AB373" s="36" t="e">
        <f t="shared" si="107"/>
        <v>#DIV/0!</v>
      </c>
      <c r="AC373" s="3" t="e">
        <f t="shared" si="108"/>
        <v>#DIV/0!</v>
      </c>
      <c r="AD373" s="36" t="e">
        <f t="shared" si="109"/>
        <v>#DIV/0!</v>
      </c>
      <c r="AE373" s="36" t="e">
        <f t="shared" si="110"/>
        <v>#DIV/0!</v>
      </c>
      <c r="AF373" s="36" t="e">
        <f t="shared" ref="AF373:AF404" si="119">Y373*SIN($H$15/2*PI()/180)</f>
        <v>#DIV/0!</v>
      </c>
      <c r="AG373" s="3" t="e">
        <f t="shared" ref="AG373:AG404" si="120">AF373/SIN((0.5*$H$15*PI()/180))</f>
        <v>#DIV/0!</v>
      </c>
      <c r="AH373" s="36" t="e">
        <f t="shared" si="111"/>
        <v>#DIV/0!</v>
      </c>
      <c r="AI373" s="36" t="e">
        <f t="shared" si="112"/>
        <v>#DIV/0!</v>
      </c>
      <c r="AJ373" s="3" t="e">
        <f t="shared" si="113"/>
        <v>#DIV/0!</v>
      </c>
      <c r="AK373" s="36" t="e">
        <f t="shared" si="114"/>
        <v>#DIV/0!</v>
      </c>
      <c r="AL373" s="36" t="e">
        <f t="shared" si="115"/>
        <v>#DIV/0!</v>
      </c>
      <c r="AM373" s="36" t="e">
        <f t="shared" si="116"/>
        <v>#DIV/0!</v>
      </c>
      <c r="AU373"/>
    </row>
    <row r="374" spans="2:47" ht="15.95" customHeight="1">
      <c r="B374" s="41">
        <v>0.32500000000000001</v>
      </c>
      <c r="C374" s="41" t="e">
        <f t="shared" si="97"/>
        <v>#DIV/0!</v>
      </c>
      <c r="D374" s="35" t="e">
        <f t="shared" si="98"/>
        <v>#DIV/0!</v>
      </c>
      <c r="E374" s="41" t="e">
        <f t="shared" si="99"/>
        <v>#DIV/0!</v>
      </c>
      <c r="F374" s="36" t="e">
        <f t="shared" si="100"/>
        <v>#DIV/0!</v>
      </c>
      <c r="G374" s="36" t="e">
        <f t="shared" si="101"/>
        <v>#DIV/0!</v>
      </c>
      <c r="H374" s="36" t="e">
        <f t="shared" si="102"/>
        <v>#DIV/0!</v>
      </c>
      <c r="W374" s="3"/>
      <c r="X374">
        <v>0.19499999999999901</v>
      </c>
      <c r="Y374" s="3" t="e">
        <f t="shared" si="117"/>
        <v>#DIV/0!</v>
      </c>
      <c r="Z374" s="36" t="e">
        <f t="shared" si="106"/>
        <v>#DIV/0!</v>
      </c>
      <c r="AA374" s="3" t="e">
        <f t="shared" si="118"/>
        <v>#DIV/0!</v>
      </c>
      <c r="AB374" s="36" t="e">
        <f t="shared" si="107"/>
        <v>#DIV/0!</v>
      </c>
      <c r="AC374" s="3" t="e">
        <f t="shared" si="108"/>
        <v>#DIV/0!</v>
      </c>
      <c r="AD374" s="36" t="e">
        <f t="shared" si="109"/>
        <v>#DIV/0!</v>
      </c>
      <c r="AE374" s="36" t="e">
        <f t="shared" ref="AE374:AE405" si="121">Z374*(-1)</f>
        <v>#DIV/0!</v>
      </c>
      <c r="AF374" s="36" t="e">
        <f t="shared" si="119"/>
        <v>#DIV/0!</v>
      </c>
      <c r="AG374" s="3" t="e">
        <f t="shared" si="120"/>
        <v>#DIV/0!</v>
      </c>
      <c r="AH374" s="36" t="e">
        <f t="shared" si="111"/>
        <v>#DIV/0!</v>
      </c>
      <c r="AI374" s="36" t="e">
        <f t="shared" si="112"/>
        <v>#DIV/0!</v>
      </c>
      <c r="AJ374" s="3" t="e">
        <f t="shared" si="113"/>
        <v>#DIV/0!</v>
      </c>
      <c r="AK374" s="36" t="e">
        <f t="shared" si="114"/>
        <v>#DIV/0!</v>
      </c>
      <c r="AL374" s="36" t="e">
        <f t="shared" ref="AL374:AL405" si="122">AF374*(-1)</f>
        <v>#DIV/0!</v>
      </c>
      <c r="AM374" s="36" t="e">
        <f t="shared" si="116"/>
        <v>#DIV/0!</v>
      </c>
      <c r="AU374"/>
    </row>
    <row r="375" spans="2:47" ht="15.95" customHeight="1">
      <c r="B375" s="41">
        <v>0.33</v>
      </c>
      <c r="C375" s="41" t="e">
        <f t="shared" ref="C375:C438" si="123">((-LN(B375))/$M$22)*10000</f>
        <v>#DIV/0!</v>
      </c>
      <c r="D375" s="35" t="e">
        <f t="shared" ref="D375:D438" si="124">C375*SIN($F$15*PI()/180)</f>
        <v>#DIV/0!</v>
      </c>
      <c r="E375" s="41" t="e">
        <f t="shared" ref="E375:E438" si="125">D375/SIN((0.5*$H$15*PI()/180))</f>
        <v>#DIV/0!</v>
      </c>
      <c r="F375" s="36" t="e">
        <f t="shared" ref="F375:F438" si="126">B375*EXP(-($M$22/10000)*E375)*100</f>
        <v>#DIV/0!</v>
      </c>
      <c r="G375" s="36" t="e">
        <f t="shared" ref="G375:G438" si="127">D375/SIN((0.5*$J$15*PI()/180))</f>
        <v>#DIV/0!</v>
      </c>
      <c r="H375" s="36" t="e">
        <f t="shared" ref="H375:H438" si="128">B375*EXP(-($M$22/10000)*G375)*100</f>
        <v>#DIV/0!</v>
      </c>
      <c r="W375" s="3"/>
      <c r="X375">
        <v>0.189999999999999</v>
      </c>
      <c r="Y375" s="3" t="e">
        <f t="shared" si="117"/>
        <v>#DIV/0!</v>
      </c>
      <c r="Z375" s="36" t="e">
        <f t="shared" si="106"/>
        <v>#DIV/0!</v>
      </c>
      <c r="AA375" s="3" t="e">
        <f t="shared" si="118"/>
        <v>#DIV/0!</v>
      </c>
      <c r="AB375" s="36" t="e">
        <f t="shared" si="107"/>
        <v>#DIV/0!</v>
      </c>
      <c r="AC375" s="3" t="e">
        <f t="shared" si="108"/>
        <v>#DIV/0!</v>
      </c>
      <c r="AD375" s="36" t="e">
        <f t="shared" si="109"/>
        <v>#DIV/0!</v>
      </c>
      <c r="AE375" s="36" t="e">
        <f t="shared" si="121"/>
        <v>#DIV/0!</v>
      </c>
      <c r="AF375" s="36" t="e">
        <f t="shared" si="119"/>
        <v>#DIV/0!</v>
      </c>
      <c r="AG375" s="3" t="e">
        <f t="shared" si="120"/>
        <v>#DIV/0!</v>
      </c>
      <c r="AH375" s="36" t="e">
        <f t="shared" si="111"/>
        <v>#DIV/0!</v>
      </c>
      <c r="AI375" s="36" t="e">
        <f t="shared" si="112"/>
        <v>#DIV/0!</v>
      </c>
      <c r="AJ375" s="3" t="e">
        <f t="shared" si="113"/>
        <v>#DIV/0!</v>
      </c>
      <c r="AK375" s="36" t="e">
        <f t="shared" si="114"/>
        <v>#DIV/0!</v>
      </c>
      <c r="AL375" s="36" t="e">
        <f t="shared" si="122"/>
        <v>#DIV/0!</v>
      </c>
      <c r="AM375" s="36" t="e">
        <f t="shared" si="116"/>
        <v>#DIV/0!</v>
      </c>
      <c r="AU375"/>
    </row>
    <row r="376" spans="2:47" ht="15.95" customHeight="1">
      <c r="B376" s="41">
        <v>0.33500000000000002</v>
      </c>
      <c r="C376" s="41" t="e">
        <f t="shared" si="123"/>
        <v>#DIV/0!</v>
      </c>
      <c r="D376" s="35" t="e">
        <f t="shared" si="124"/>
        <v>#DIV/0!</v>
      </c>
      <c r="E376" s="41" t="e">
        <f t="shared" si="125"/>
        <v>#DIV/0!</v>
      </c>
      <c r="F376" s="36" t="e">
        <f t="shared" si="126"/>
        <v>#DIV/0!</v>
      </c>
      <c r="G376" s="36" t="e">
        <f t="shared" si="127"/>
        <v>#DIV/0!</v>
      </c>
      <c r="H376" s="36" t="e">
        <f t="shared" si="128"/>
        <v>#DIV/0!</v>
      </c>
      <c r="W376" s="3"/>
      <c r="X376">
        <v>0.184999999999999</v>
      </c>
      <c r="Y376" s="3" t="e">
        <f t="shared" si="117"/>
        <v>#DIV/0!</v>
      </c>
      <c r="Z376" s="36" t="e">
        <f t="shared" si="106"/>
        <v>#DIV/0!</v>
      </c>
      <c r="AA376" s="3" t="e">
        <f t="shared" si="118"/>
        <v>#DIV/0!</v>
      </c>
      <c r="AB376" s="36" t="e">
        <f t="shared" si="107"/>
        <v>#DIV/0!</v>
      </c>
      <c r="AC376" s="3" t="e">
        <f t="shared" si="108"/>
        <v>#DIV/0!</v>
      </c>
      <c r="AD376" s="36" t="e">
        <f t="shared" si="109"/>
        <v>#DIV/0!</v>
      </c>
      <c r="AE376" s="36" t="e">
        <f t="shared" si="121"/>
        <v>#DIV/0!</v>
      </c>
      <c r="AF376" s="36" t="e">
        <f t="shared" si="119"/>
        <v>#DIV/0!</v>
      </c>
      <c r="AG376" s="3" t="e">
        <f t="shared" si="120"/>
        <v>#DIV/0!</v>
      </c>
      <c r="AH376" s="36" t="e">
        <f t="shared" si="111"/>
        <v>#DIV/0!</v>
      </c>
      <c r="AI376" s="36" t="e">
        <f t="shared" si="112"/>
        <v>#DIV/0!</v>
      </c>
      <c r="AJ376" s="3" t="e">
        <f t="shared" si="113"/>
        <v>#DIV/0!</v>
      </c>
      <c r="AK376" s="36" t="e">
        <f t="shared" si="114"/>
        <v>#DIV/0!</v>
      </c>
      <c r="AL376" s="36" t="e">
        <f t="shared" si="122"/>
        <v>#DIV/0!</v>
      </c>
      <c r="AM376" s="36" t="e">
        <f t="shared" si="116"/>
        <v>#DIV/0!</v>
      </c>
      <c r="AU376"/>
    </row>
    <row r="377" spans="2:47" ht="15.95" customHeight="1">
      <c r="B377" s="41">
        <v>0.34</v>
      </c>
      <c r="C377" s="41" t="e">
        <f t="shared" si="123"/>
        <v>#DIV/0!</v>
      </c>
      <c r="D377" s="35" t="e">
        <f t="shared" si="124"/>
        <v>#DIV/0!</v>
      </c>
      <c r="E377" s="41" t="e">
        <f t="shared" si="125"/>
        <v>#DIV/0!</v>
      </c>
      <c r="F377" s="36" t="e">
        <f t="shared" si="126"/>
        <v>#DIV/0!</v>
      </c>
      <c r="G377" s="36" t="e">
        <f t="shared" si="127"/>
        <v>#DIV/0!</v>
      </c>
      <c r="H377" s="36" t="e">
        <f t="shared" si="128"/>
        <v>#DIV/0!</v>
      </c>
      <c r="W377" s="3"/>
      <c r="X377">
        <v>0.17999999999999899</v>
      </c>
      <c r="Y377" s="3" t="e">
        <f t="shared" si="117"/>
        <v>#DIV/0!</v>
      </c>
      <c r="Z377" s="36" t="e">
        <f t="shared" si="106"/>
        <v>#DIV/0!</v>
      </c>
      <c r="AA377" s="3" t="e">
        <f t="shared" si="118"/>
        <v>#DIV/0!</v>
      </c>
      <c r="AB377" s="36" t="e">
        <f t="shared" si="107"/>
        <v>#DIV/0!</v>
      </c>
      <c r="AC377" s="3" t="e">
        <f t="shared" si="108"/>
        <v>#DIV/0!</v>
      </c>
      <c r="AD377" s="36" t="e">
        <f t="shared" si="109"/>
        <v>#DIV/0!</v>
      </c>
      <c r="AE377" s="36" t="e">
        <f t="shared" si="121"/>
        <v>#DIV/0!</v>
      </c>
      <c r="AF377" s="36" t="e">
        <f t="shared" si="119"/>
        <v>#DIV/0!</v>
      </c>
      <c r="AG377" s="3" t="e">
        <f t="shared" si="120"/>
        <v>#DIV/0!</v>
      </c>
      <c r="AH377" s="36" t="e">
        <f t="shared" si="111"/>
        <v>#DIV/0!</v>
      </c>
      <c r="AI377" s="36" t="e">
        <f t="shared" si="112"/>
        <v>#DIV/0!</v>
      </c>
      <c r="AJ377" s="3" t="e">
        <f t="shared" si="113"/>
        <v>#DIV/0!</v>
      </c>
      <c r="AK377" s="36" t="e">
        <f t="shared" si="114"/>
        <v>#DIV/0!</v>
      </c>
      <c r="AL377" s="36" t="e">
        <f t="shared" si="122"/>
        <v>#DIV/0!</v>
      </c>
      <c r="AM377" s="36" t="e">
        <f t="shared" si="116"/>
        <v>#DIV/0!</v>
      </c>
      <c r="AU377"/>
    </row>
    <row r="378" spans="2:47" ht="15.95" customHeight="1">
      <c r="B378" s="41">
        <v>0.34499999999999997</v>
      </c>
      <c r="C378" s="41" t="e">
        <f t="shared" si="123"/>
        <v>#DIV/0!</v>
      </c>
      <c r="D378" s="35" t="e">
        <f t="shared" si="124"/>
        <v>#DIV/0!</v>
      </c>
      <c r="E378" s="41" t="e">
        <f t="shared" si="125"/>
        <v>#DIV/0!</v>
      </c>
      <c r="F378" s="36" t="e">
        <f t="shared" si="126"/>
        <v>#DIV/0!</v>
      </c>
      <c r="G378" s="36" t="e">
        <f t="shared" si="127"/>
        <v>#DIV/0!</v>
      </c>
      <c r="H378" s="36" t="e">
        <f t="shared" si="128"/>
        <v>#DIV/0!</v>
      </c>
      <c r="W378" s="3"/>
      <c r="X378">
        <v>0.17499999999999899</v>
      </c>
      <c r="Y378" s="3" t="e">
        <f t="shared" si="117"/>
        <v>#DIV/0!</v>
      </c>
      <c r="Z378" s="36" t="e">
        <f t="shared" si="106"/>
        <v>#DIV/0!</v>
      </c>
      <c r="AA378" s="3" t="e">
        <f t="shared" si="118"/>
        <v>#DIV/0!</v>
      </c>
      <c r="AB378" s="36" t="e">
        <f t="shared" si="107"/>
        <v>#DIV/0!</v>
      </c>
      <c r="AC378" s="3" t="e">
        <f t="shared" si="108"/>
        <v>#DIV/0!</v>
      </c>
      <c r="AD378" s="36" t="e">
        <f t="shared" si="109"/>
        <v>#DIV/0!</v>
      </c>
      <c r="AE378" s="36" t="e">
        <f t="shared" si="121"/>
        <v>#DIV/0!</v>
      </c>
      <c r="AF378" s="36" t="e">
        <f t="shared" si="119"/>
        <v>#DIV/0!</v>
      </c>
      <c r="AG378" s="3" t="e">
        <f t="shared" si="120"/>
        <v>#DIV/0!</v>
      </c>
      <c r="AH378" s="36" t="e">
        <f t="shared" si="111"/>
        <v>#DIV/0!</v>
      </c>
      <c r="AI378" s="36" t="e">
        <f t="shared" si="112"/>
        <v>#DIV/0!</v>
      </c>
      <c r="AJ378" s="3" t="e">
        <f t="shared" si="113"/>
        <v>#DIV/0!</v>
      </c>
      <c r="AK378" s="36" t="e">
        <f t="shared" si="114"/>
        <v>#DIV/0!</v>
      </c>
      <c r="AL378" s="36" t="e">
        <f t="shared" si="122"/>
        <v>#DIV/0!</v>
      </c>
      <c r="AM378" s="36" t="e">
        <f t="shared" si="116"/>
        <v>#DIV/0!</v>
      </c>
      <c r="AU378"/>
    </row>
    <row r="379" spans="2:47" ht="15.95" customHeight="1">
      <c r="B379" s="41">
        <v>0.35</v>
      </c>
      <c r="C379" s="41" t="e">
        <f t="shared" si="123"/>
        <v>#DIV/0!</v>
      </c>
      <c r="D379" s="35" t="e">
        <f t="shared" si="124"/>
        <v>#DIV/0!</v>
      </c>
      <c r="E379" s="41" t="e">
        <f t="shared" si="125"/>
        <v>#DIV/0!</v>
      </c>
      <c r="F379" s="36" t="e">
        <f t="shared" si="126"/>
        <v>#DIV/0!</v>
      </c>
      <c r="G379" s="36" t="e">
        <f t="shared" si="127"/>
        <v>#DIV/0!</v>
      </c>
      <c r="H379" s="36" t="e">
        <f t="shared" si="128"/>
        <v>#DIV/0!</v>
      </c>
      <c r="W379" s="3"/>
      <c r="X379">
        <v>0.16999999999999901</v>
      </c>
      <c r="Y379" s="3" t="e">
        <f t="shared" si="117"/>
        <v>#DIV/0!</v>
      </c>
      <c r="Z379" s="36" t="e">
        <f t="shared" si="106"/>
        <v>#DIV/0!</v>
      </c>
      <c r="AA379" s="3" t="e">
        <f t="shared" si="118"/>
        <v>#DIV/0!</v>
      </c>
      <c r="AB379" s="36" t="e">
        <f t="shared" si="107"/>
        <v>#DIV/0!</v>
      </c>
      <c r="AC379" s="3" t="e">
        <f t="shared" si="108"/>
        <v>#DIV/0!</v>
      </c>
      <c r="AD379" s="36" t="e">
        <f t="shared" si="109"/>
        <v>#DIV/0!</v>
      </c>
      <c r="AE379" s="36" t="e">
        <f t="shared" si="121"/>
        <v>#DIV/0!</v>
      </c>
      <c r="AF379" s="36" t="e">
        <f t="shared" si="119"/>
        <v>#DIV/0!</v>
      </c>
      <c r="AG379" s="3" t="e">
        <f t="shared" si="120"/>
        <v>#DIV/0!</v>
      </c>
      <c r="AH379" s="36" t="e">
        <f t="shared" si="111"/>
        <v>#DIV/0!</v>
      </c>
      <c r="AI379" s="36" t="e">
        <f t="shared" si="112"/>
        <v>#DIV/0!</v>
      </c>
      <c r="AJ379" s="3" t="e">
        <f t="shared" si="113"/>
        <v>#DIV/0!</v>
      </c>
      <c r="AK379" s="36" t="e">
        <f t="shared" si="114"/>
        <v>#DIV/0!</v>
      </c>
      <c r="AL379" s="36" t="e">
        <f t="shared" si="122"/>
        <v>#DIV/0!</v>
      </c>
      <c r="AM379" s="36" t="e">
        <f t="shared" si="116"/>
        <v>#DIV/0!</v>
      </c>
      <c r="AU379"/>
    </row>
    <row r="380" spans="2:47" ht="15.95" customHeight="1">
      <c r="B380" s="41">
        <v>0.35499999999999998</v>
      </c>
      <c r="C380" s="41" t="e">
        <f t="shared" si="123"/>
        <v>#DIV/0!</v>
      </c>
      <c r="D380" s="35" t="e">
        <f t="shared" si="124"/>
        <v>#DIV/0!</v>
      </c>
      <c r="E380" s="41" t="e">
        <f t="shared" si="125"/>
        <v>#DIV/0!</v>
      </c>
      <c r="F380" s="36" t="e">
        <f t="shared" si="126"/>
        <v>#DIV/0!</v>
      </c>
      <c r="G380" s="36" t="e">
        <f t="shared" si="127"/>
        <v>#DIV/0!</v>
      </c>
      <c r="H380" s="36" t="e">
        <f t="shared" si="128"/>
        <v>#DIV/0!</v>
      </c>
      <c r="W380" s="3"/>
      <c r="X380">
        <v>0.16499999999999901</v>
      </c>
      <c r="Y380" s="3" t="e">
        <f t="shared" si="117"/>
        <v>#DIV/0!</v>
      </c>
      <c r="Z380" s="36" t="e">
        <f t="shared" si="106"/>
        <v>#DIV/0!</v>
      </c>
      <c r="AA380" s="3" t="e">
        <f t="shared" si="118"/>
        <v>#DIV/0!</v>
      </c>
      <c r="AB380" s="36" t="e">
        <f t="shared" si="107"/>
        <v>#DIV/0!</v>
      </c>
      <c r="AC380" s="3" t="e">
        <f t="shared" si="108"/>
        <v>#DIV/0!</v>
      </c>
      <c r="AD380" s="36" t="e">
        <f t="shared" si="109"/>
        <v>#DIV/0!</v>
      </c>
      <c r="AE380" s="36" t="e">
        <f t="shared" si="121"/>
        <v>#DIV/0!</v>
      </c>
      <c r="AF380" s="36" t="e">
        <f t="shared" si="119"/>
        <v>#DIV/0!</v>
      </c>
      <c r="AG380" s="3" t="e">
        <f t="shared" si="120"/>
        <v>#DIV/0!</v>
      </c>
      <c r="AH380" s="36" t="e">
        <f t="shared" si="111"/>
        <v>#DIV/0!</v>
      </c>
      <c r="AI380" s="36" t="e">
        <f t="shared" si="112"/>
        <v>#DIV/0!</v>
      </c>
      <c r="AJ380" s="3" t="e">
        <f t="shared" si="113"/>
        <v>#DIV/0!</v>
      </c>
      <c r="AK380" s="36" t="e">
        <f t="shared" si="114"/>
        <v>#DIV/0!</v>
      </c>
      <c r="AL380" s="36" t="e">
        <f t="shared" si="122"/>
        <v>#DIV/0!</v>
      </c>
      <c r="AM380" s="36" t="e">
        <f t="shared" si="116"/>
        <v>#DIV/0!</v>
      </c>
      <c r="AU380"/>
    </row>
    <row r="381" spans="2:47" ht="15.95" customHeight="1">
      <c r="B381" s="41">
        <v>0.36</v>
      </c>
      <c r="C381" s="41" t="e">
        <f t="shared" si="123"/>
        <v>#DIV/0!</v>
      </c>
      <c r="D381" s="35" t="e">
        <f t="shared" si="124"/>
        <v>#DIV/0!</v>
      </c>
      <c r="E381" s="41" t="e">
        <f t="shared" si="125"/>
        <v>#DIV/0!</v>
      </c>
      <c r="F381" s="36" t="e">
        <f t="shared" si="126"/>
        <v>#DIV/0!</v>
      </c>
      <c r="G381" s="36" t="e">
        <f t="shared" si="127"/>
        <v>#DIV/0!</v>
      </c>
      <c r="H381" s="36" t="e">
        <f t="shared" si="128"/>
        <v>#DIV/0!</v>
      </c>
      <c r="W381" s="3"/>
      <c r="X381">
        <v>0.159999999999999</v>
      </c>
      <c r="Y381" s="3" t="e">
        <f t="shared" si="117"/>
        <v>#DIV/0!</v>
      </c>
      <c r="Z381" s="36" t="e">
        <f t="shared" si="106"/>
        <v>#DIV/0!</v>
      </c>
      <c r="AA381" s="3" t="e">
        <f t="shared" si="118"/>
        <v>#DIV/0!</v>
      </c>
      <c r="AB381" s="36" t="e">
        <f t="shared" si="107"/>
        <v>#DIV/0!</v>
      </c>
      <c r="AC381" s="3" t="e">
        <f t="shared" si="108"/>
        <v>#DIV/0!</v>
      </c>
      <c r="AD381" s="36" t="e">
        <f t="shared" si="109"/>
        <v>#DIV/0!</v>
      </c>
      <c r="AE381" s="36" t="e">
        <f t="shared" si="121"/>
        <v>#DIV/0!</v>
      </c>
      <c r="AF381" s="36" t="e">
        <f t="shared" si="119"/>
        <v>#DIV/0!</v>
      </c>
      <c r="AG381" s="3" t="e">
        <f t="shared" si="120"/>
        <v>#DIV/0!</v>
      </c>
      <c r="AH381" s="36" t="e">
        <f t="shared" si="111"/>
        <v>#DIV/0!</v>
      </c>
      <c r="AI381" s="36" t="e">
        <f t="shared" si="112"/>
        <v>#DIV/0!</v>
      </c>
      <c r="AJ381" s="3" t="e">
        <f t="shared" si="113"/>
        <v>#DIV/0!</v>
      </c>
      <c r="AK381" s="36" t="e">
        <f t="shared" si="114"/>
        <v>#DIV/0!</v>
      </c>
      <c r="AL381" s="36" t="e">
        <f t="shared" si="122"/>
        <v>#DIV/0!</v>
      </c>
      <c r="AM381" s="36" t="e">
        <f t="shared" si="116"/>
        <v>#DIV/0!</v>
      </c>
      <c r="AU381"/>
    </row>
    <row r="382" spans="2:47" ht="15.95" customHeight="1">
      <c r="B382" s="41">
        <v>0.36499999999999999</v>
      </c>
      <c r="C382" s="41" t="e">
        <f t="shared" si="123"/>
        <v>#DIV/0!</v>
      </c>
      <c r="D382" s="35" t="e">
        <f t="shared" si="124"/>
        <v>#DIV/0!</v>
      </c>
      <c r="E382" s="41" t="e">
        <f t="shared" si="125"/>
        <v>#DIV/0!</v>
      </c>
      <c r="F382" s="36" t="e">
        <f t="shared" si="126"/>
        <v>#DIV/0!</v>
      </c>
      <c r="G382" s="36" t="e">
        <f t="shared" si="127"/>
        <v>#DIV/0!</v>
      </c>
      <c r="H382" s="36" t="e">
        <f t="shared" si="128"/>
        <v>#DIV/0!</v>
      </c>
      <c r="W382" s="3"/>
      <c r="X382">
        <v>0.154999999999999</v>
      </c>
      <c r="Y382" s="3" t="e">
        <f t="shared" si="117"/>
        <v>#DIV/0!</v>
      </c>
      <c r="Z382" s="36" t="e">
        <f t="shared" si="106"/>
        <v>#DIV/0!</v>
      </c>
      <c r="AA382" s="3" t="e">
        <f t="shared" si="118"/>
        <v>#DIV/0!</v>
      </c>
      <c r="AB382" s="36" t="e">
        <f t="shared" si="107"/>
        <v>#DIV/0!</v>
      </c>
      <c r="AC382" s="3" t="e">
        <f t="shared" si="108"/>
        <v>#DIV/0!</v>
      </c>
      <c r="AD382" s="36" t="e">
        <f t="shared" si="109"/>
        <v>#DIV/0!</v>
      </c>
      <c r="AE382" s="36" t="e">
        <f t="shared" si="121"/>
        <v>#DIV/0!</v>
      </c>
      <c r="AF382" s="36" t="e">
        <f t="shared" si="119"/>
        <v>#DIV/0!</v>
      </c>
      <c r="AG382" s="3" t="e">
        <f t="shared" si="120"/>
        <v>#DIV/0!</v>
      </c>
      <c r="AH382" s="36" t="e">
        <f t="shared" si="111"/>
        <v>#DIV/0!</v>
      </c>
      <c r="AI382" s="36" t="e">
        <f t="shared" si="112"/>
        <v>#DIV/0!</v>
      </c>
      <c r="AJ382" s="3" t="e">
        <f t="shared" si="113"/>
        <v>#DIV/0!</v>
      </c>
      <c r="AK382" s="36" t="e">
        <f t="shared" si="114"/>
        <v>#DIV/0!</v>
      </c>
      <c r="AL382" s="36" t="e">
        <f t="shared" si="122"/>
        <v>#DIV/0!</v>
      </c>
      <c r="AM382" s="36" t="e">
        <f t="shared" si="116"/>
        <v>#DIV/0!</v>
      </c>
      <c r="AU382"/>
    </row>
    <row r="383" spans="2:47" ht="15.95" customHeight="1">
      <c r="B383" s="41">
        <v>0.37</v>
      </c>
      <c r="C383" s="41" t="e">
        <f t="shared" si="123"/>
        <v>#DIV/0!</v>
      </c>
      <c r="D383" s="35" t="e">
        <f t="shared" si="124"/>
        <v>#DIV/0!</v>
      </c>
      <c r="E383" s="41" t="e">
        <f t="shared" si="125"/>
        <v>#DIV/0!</v>
      </c>
      <c r="F383" s="36" t="e">
        <f t="shared" si="126"/>
        <v>#DIV/0!</v>
      </c>
      <c r="G383" s="36" t="e">
        <f t="shared" si="127"/>
        <v>#DIV/0!</v>
      </c>
      <c r="H383" s="36" t="e">
        <f t="shared" si="128"/>
        <v>#DIV/0!</v>
      </c>
      <c r="W383" s="3"/>
      <c r="X383">
        <v>0.149999999999999</v>
      </c>
      <c r="Y383" s="3" t="e">
        <f t="shared" si="117"/>
        <v>#DIV/0!</v>
      </c>
      <c r="Z383" s="36" t="e">
        <f t="shared" si="106"/>
        <v>#DIV/0!</v>
      </c>
      <c r="AA383" s="3" t="e">
        <f t="shared" si="118"/>
        <v>#DIV/0!</v>
      </c>
      <c r="AB383" s="36" t="e">
        <f t="shared" si="107"/>
        <v>#DIV/0!</v>
      </c>
      <c r="AC383" s="3" t="e">
        <f t="shared" si="108"/>
        <v>#DIV/0!</v>
      </c>
      <c r="AD383" s="36" t="e">
        <f t="shared" si="109"/>
        <v>#DIV/0!</v>
      </c>
      <c r="AE383" s="36" t="e">
        <f t="shared" si="121"/>
        <v>#DIV/0!</v>
      </c>
      <c r="AF383" s="36" t="e">
        <f t="shared" si="119"/>
        <v>#DIV/0!</v>
      </c>
      <c r="AG383" s="3" t="e">
        <f t="shared" si="120"/>
        <v>#DIV/0!</v>
      </c>
      <c r="AH383" s="36" t="e">
        <f t="shared" si="111"/>
        <v>#DIV/0!</v>
      </c>
      <c r="AI383" s="36" t="e">
        <f t="shared" si="112"/>
        <v>#DIV/0!</v>
      </c>
      <c r="AJ383" s="3" t="e">
        <f t="shared" si="113"/>
        <v>#DIV/0!</v>
      </c>
      <c r="AK383" s="36" t="e">
        <f t="shared" si="114"/>
        <v>#DIV/0!</v>
      </c>
      <c r="AL383" s="36" t="e">
        <f t="shared" si="122"/>
        <v>#DIV/0!</v>
      </c>
      <c r="AM383" s="36" t="e">
        <f t="shared" si="116"/>
        <v>#DIV/0!</v>
      </c>
      <c r="AU383"/>
    </row>
    <row r="384" spans="2:47" ht="15.95" customHeight="1">
      <c r="B384" s="41">
        <v>0.375</v>
      </c>
      <c r="C384" s="41" t="e">
        <f t="shared" si="123"/>
        <v>#DIV/0!</v>
      </c>
      <c r="D384" s="35" t="e">
        <f t="shared" si="124"/>
        <v>#DIV/0!</v>
      </c>
      <c r="E384" s="41" t="e">
        <f t="shared" si="125"/>
        <v>#DIV/0!</v>
      </c>
      <c r="F384" s="36" t="e">
        <f t="shared" si="126"/>
        <v>#DIV/0!</v>
      </c>
      <c r="G384" s="36" t="e">
        <f t="shared" si="127"/>
        <v>#DIV/0!</v>
      </c>
      <c r="H384" s="36" t="e">
        <f t="shared" si="128"/>
        <v>#DIV/0!</v>
      </c>
      <c r="W384" s="3"/>
      <c r="X384">
        <v>0.14499999999999899</v>
      </c>
      <c r="Y384" s="3" t="e">
        <f t="shared" si="117"/>
        <v>#DIV/0!</v>
      </c>
      <c r="Z384" s="36" t="e">
        <f t="shared" si="106"/>
        <v>#DIV/0!</v>
      </c>
      <c r="AA384" s="3" t="e">
        <f t="shared" si="118"/>
        <v>#DIV/0!</v>
      </c>
      <c r="AB384" s="36" t="e">
        <f t="shared" si="107"/>
        <v>#DIV/0!</v>
      </c>
      <c r="AC384" s="3" t="e">
        <f t="shared" si="108"/>
        <v>#DIV/0!</v>
      </c>
      <c r="AD384" s="36" t="e">
        <f t="shared" si="109"/>
        <v>#DIV/0!</v>
      </c>
      <c r="AE384" s="36" t="e">
        <f t="shared" si="121"/>
        <v>#DIV/0!</v>
      </c>
      <c r="AF384" s="36" t="e">
        <f t="shared" si="119"/>
        <v>#DIV/0!</v>
      </c>
      <c r="AG384" s="3" t="e">
        <f t="shared" si="120"/>
        <v>#DIV/0!</v>
      </c>
      <c r="AH384" s="36" t="e">
        <f t="shared" si="111"/>
        <v>#DIV/0!</v>
      </c>
      <c r="AI384" s="36" t="e">
        <f t="shared" si="112"/>
        <v>#DIV/0!</v>
      </c>
      <c r="AJ384" s="3" t="e">
        <f t="shared" si="113"/>
        <v>#DIV/0!</v>
      </c>
      <c r="AK384" s="36" t="e">
        <f t="shared" si="114"/>
        <v>#DIV/0!</v>
      </c>
      <c r="AL384" s="36" t="e">
        <f t="shared" si="122"/>
        <v>#DIV/0!</v>
      </c>
      <c r="AM384" s="36" t="e">
        <f t="shared" si="116"/>
        <v>#DIV/0!</v>
      </c>
      <c r="AU384"/>
    </row>
    <row r="385" spans="2:47" ht="15.95" customHeight="1">
      <c r="B385" s="41">
        <v>0.38</v>
      </c>
      <c r="C385" s="41" t="e">
        <f t="shared" si="123"/>
        <v>#DIV/0!</v>
      </c>
      <c r="D385" s="35" t="e">
        <f t="shared" si="124"/>
        <v>#DIV/0!</v>
      </c>
      <c r="E385" s="41" t="e">
        <f t="shared" si="125"/>
        <v>#DIV/0!</v>
      </c>
      <c r="F385" s="36" t="e">
        <f t="shared" si="126"/>
        <v>#DIV/0!</v>
      </c>
      <c r="G385" s="36" t="e">
        <f t="shared" si="127"/>
        <v>#DIV/0!</v>
      </c>
      <c r="H385" s="36" t="e">
        <f t="shared" si="128"/>
        <v>#DIV/0!</v>
      </c>
      <c r="W385" s="3"/>
      <c r="X385">
        <v>0.13999999999999899</v>
      </c>
      <c r="Y385" s="3" t="e">
        <f t="shared" si="117"/>
        <v>#DIV/0!</v>
      </c>
      <c r="Z385" s="36" t="e">
        <f t="shared" si="106"/>
        <v>#DIV/0!</v>
      </c>
      <c r="AA385" s="3" t="e">
        <f t="shared" si="118"/>
        <v>#DIV/0!</v>
      </c>
      <c r="AB385" s="36" t="e">
        <f t="shared" si="107"/>
        <v>#DIV/0!</v>
      </c>
      <c r="AC385" s="3" t="e">
        <f t="shared" si="108"/>
        <v>#DIV/0!</v>
      </c>
      <c r="AD385" s="36" t="e">
        <f t="shared" si="109"/>
        <v>#DIV/0!</v>
      </c>
      <c r="AE385" s="36" t="e">
        <f t="shared" si="121"/>
        <v>#DIV/0!</v>
      </c>
      <c r="AF385" s="36" t="e">
        <f t="shared" si="119"/>
        <v>#DIV/0!</v>
      </c>
      <c r="AG385" s="3" t="e">
        <f t="shared" si="120"/>
        <v>#DIV/0!</v>
      </c>
      <c r="AH385" s="36" t="e">
        <f t="shared" si="111"/>
        <v>#DIV/0!</v>
      </c>
      <c r="AI385" s="36" t="e">
        <f t="shared" si="112"/>
        <v>#DIV/0!</v>
      </c>
      <c r="AJ385" s="3" t="e">
        <f t="shared" si="113"/>
        <v>#DIV/0!</v>
      </c>
      <c r="AK385" s="36" t="e">
        <f t="shared" si="114"/>
        <v>#DIV/0!</v>
      </c>
      <c r="AL385" s="36" t="e">
        <f t="shared" si="122"/>
        <v>#DIV/0!</v>
      </c>
      <c r="AM385" s="36" t="e">
        <f t="shared" si="116"/>
        <v>#DIV/0!</v>
      </c>
      <c r="AU385"/>
    </row>
    <row r="386" spans="2:47" ht="15.95" customHeight="1">
      <c r="B386" s="41">
        <v>0.38500000000000001</v>
      </c>
      <c r="C386" s="41" t="e">
        <f t="shared" si="123"/>
        <v>#DIV/0!</v>
      </c>
      <c r="D386" s="35" t="e">
        <f t="shared" si="124"/>
        <v>#DIV/0!</v>
      </c>
      <c r="E386" s="41" t="e">
        <f t="shared" si="125"/>
        <v>#DIV/0!</v>
      </c>
      <c r="F386" s="36" t="e">
        <f t="shared" si="126"/>
        <v>#DIV/0!</v>
      </c>
      <c r="G386" s="36" t="e">
        <f t="shared" si="127"/>
        <v>#DIV/0!</v>
      </c>
      <c r="H386" s="36" t="e">
        <f t="shared" si="128"/>
        <v>#DIV/0!</v>
      </c>
      <c r="W386" s="3"/>
      <c r="X386">
        <v>0.13499999999999901</v>
      </c>
      <c r="Y386" s="3" t="e">
        <f t="shared" si="117"/>
        <v>#DIV/0!</v>
      </c>
      <c r="Z386" s="36" t="e">
        <f t="shared" si="106"/>
        <v>#DIV/0!</v>
      </c>
      <c r="AA386" s="3" t="e">
        <f t="shared" si="118"/>
        <v>#DIV/0!</v>
      </c>
      <c r="AB386" s="36" t="e">
        <f t="shared" si="107"/>
        <v>#DIV/0!</v>
      </c>
      <c r="AC386" s="3" t="e">
        <f t="shared" si="108"/>
        <v>#DIV/0!</v>
      </c>
      <c r="AD386" s="36" t="e">
        <f t="shared" si="109"/>
        <v>#DIV/0!</v>
      </c>
      <c r="AE386" s="36" t="e">
        <f t="shared" si="121"/>
        <v>#DIV/0!</v>
      </c>
      <c r="AF386" s="36" t="e">
        <f t="shared" si="119"/>
        <v>#DIV/0!</v>
      </c>
      <c r="AG386" s="3" t="e">
        <f t="shared" si="120"/>
        <v>#DIV/0!</v>
      </c>
      <c r="AH386" s="36" t="e">
        <f t="shared" si="111"/>
        <v>#DIV/0!</v>
      </c>
      <c r="AI386" s="36" t="e">
        <f t="shared" si="112"/>
        <v>#DIV/0!</v>
      </c>
      <c r="AJ386" s="3" t="e">
        <f t="shared" si="113"/>
        <v>#DIV/0!</v>
      </c>
      <c r="AK386" s="36" t="e">
        <f t="shared" si="114"/>
        <v>#DIV/0!</v>
      </c>
      <c r="AL386" s="36" t="e">
        <f t="shared" si="122"/>
        <v>#DIV/0!</v>
      </c>
      <c r="AM386" s="36" t="e">
        <f t="shared" si="116"/>
        <v>#DIV/0!</v>
      </c>
      <c r="AU386"/>
    </row>
    <row r="387" spans="2:47" ht="15.95" customHeight="1">
      <c r="B387" s="41">
        <v>0.39</v>
      </c>
      <c r="C387" s="41" t="e">
        <f t="shared" si="123"/>
        <v>#DIV/0!</v>
      </c>
      <c r="D387" s="35" t="e">
        <f t="shared" si="124"/>
        <v>#DIV/0!</v>
      </c>
      <c r="E387" s="41" t="e">
        <f t="shared" si="125"/>
        <v>#DIV/0!</v>
      </c>
      <c r="F387" s="36" t="e">
        <f t="shared" si="126"/>
        <v>#DIV/0!</v>
      </c>
      <c r="G387" s="36" t="e">
        <f t="shared" si="127"/>
        <v>#DIV/0!</v>
      </c>
      <c r="H387" s="36" t="e">
        <f t="shared" si="128"/>
        <v>#DIV/0!</v>
      </c>
      <c r="W387" s="3"/>
      <c r="X387">
        <v>0.12999999999999901</v>
      </c>
      <c r="Y387" s="3" t="e">
        <f t="shared" si="117"/>
        <v>#DIV/0!</v>
      </c>
      <c r="Z387" s="36" t="e">
        <f t="shared" si="106"/>
        <v>#DIV/0!</v>
      </c>
      <c r="AA387" s="3" t="e">
        <f t="shared" si="118"/>
        <v>#DIV/0!</v>
      </c>
      <c r="AB387" s="36" t="e">
        <f t="shared" si="107"/>
        <v>#DIV/0!</v>
      </c>
      <c r="AC387" s="3" t="e">
        <f t="shared" si="108"/>
        <v>#DIV/0!</v>
      </c>
      <c r="AD387" s="36" t="e">
        <f t="shared" si="109"/>
        <v>#DIV/0!</v>
      </c>
      <c r="AE387" s="36" t="e">
        <f t="shared" si="121"/>
        <v>#DIV/0!</v>
      </c>
      <c r="AF387" s="36" t="e">
        <f t="shared" si="119"/>
        <v>#DIV/0!</v>
      </c>
      <c r="AG387" s="3" t="e">
        <f t="shared" si="120"/>
        <v>#DIV/0!</v>
      </c>
      <c r="AH387" s="36" t="e">
        <f t="shared" si="111"/>
        <v>#DIV/0!</v>
      </c>
      <c r="AI387" s="36" t="e">
        <f t="shared" si="112"/>
        <v>#DIV/0!</v>
      </c>
      <c r="AJ387" s="3" t="e">
        <f t="shared" si="113"/>
        <v>#DIV/0!</v>
      </c>
      <c r="AK387" s="36" t="e">
        <f t="shared" si="114"/>
        <v>#DIV/0!</v>
      </c>
      <c r="AL387" s="36" t="e">
        <f t="shared" si="122"/>
        <v>#DIV/0!</v>
      </c>
      <c r="AM387" s="36" t="e">
        <f t="shared" si="116"/>
        <v>#DIV/0!</v>
      </c>
      <c r="AU387"/>
    </row>
    <row r="388" spans="2:47" ht="15.95" customHeight="1">
      <c r="B388" s="41">
        <v>0.39500000000000002</v>
      </c>
      <c r="C388" s="41" t="e">
        <f t="shared" si="123"/>
        <v>#DIV/0!</v>
      </c>
      <c r="D388" s="35" t="e">
        <f t="shared" si="124"/>
        <v>#DIV/0!</v>
      </c>
      <c r="E388" s="41" t="e">
        <f t="shared" si="125"/>
        <v>#DIV/0!</v>
      </c>
      <c r="F388" s="36" t="e">
        <f t="shared" si="126"/>
        <v>#DIV/0!</v>
      </c>
      <c r="G388" s="36" t="e">
        <f t="shared" si="127"/>
        <v>#DIV/0!</v>
      </c>
      <c r="H388" s="36" t="e">
        <f t="shared" si="128"/>
        <v>#DIV/0!</v>
      </c>
      <c r="W388" s="3"/>
      <c r="X388">
        <v>0.124999999999999</v>
      </c>
      <c r="Y388" s="3" t="e">
        <f t="shared" si="117"/>
        <v>#DIV/0!</v>
      </c>
      <c r="Z388" s="36" t="e">
        <f t="shared" si="106"/>
        <v>#DIV/0!</v>
      </c>
      <c r="AA388" s="3" t="e">
        <f t="shared" si="118"/>
        <v>#DIV/0!</v>
      </c>
      <c r="AB388" s="36" t="e">
        <f t="shared" si="107"/>
        <v>#DIV/0!</v>
      </c>
      <c r="AC388" s="3" t="e">
        <f t="shared" si="108"/>
        <v>#DIV/0!</v>
      </c>
      <c r="AD388" s="36" t="e">
        <f t="shared" si="109"/>
        <v>#DIV/0!</v>
      </c>
      <c r="AE388" s="36" t="e">
        <f t="shared" si="121"/>
        <v>#DIV/0!</v>
      </c>
      <c r="AF388" s="36" t="e">
        <f t="shared" si="119"/>
        <v>#DIV/0!</v>
      </c>
      <c r="AG388" s="3" t="e">
        <f t="shared" si="120"/>
        <v>#DIV/0!</v>
      </c>
      <c r="AH388" s="36" t="e">
        <f t="shared" si="111"/>
        <v>#DIV/0!</v>
      </c>
      <c r="AI388" s="36" t="e">
        <f t="shared" si="112"/>
        <v>#DIV/0!</v>
      </c>
      <c r="AJ388" s="3" t="e">
        <f t="shared" si="113"/>
        <v>#DIV/0!</v>
      </c>
      <c r="AK388" s="36" t="e">
        <f t="shared" si="114"/>
        <v>#DIV/0!</v>
      </c>
      <c r="AL388" s="36" t="e">
        <f t="shared" si="122"/>
        <v>#DIV/0!</v>
      </c>
      <c r="AM388" s="36" t="e">
        <f t="shared" si="116"/>
        <v>#DIV/0!</v>
      </c>
      <c r="AU388"/>
    </row>
    <row r="389" spans="2:47" ht="15.95" customHeight="1">
      <c r="B389" s="41">
        <v>0.4</v>
      </c>
      <c r="C389" s="41" t="e">
        <f t="shared" si="123"/>
        <v>#DIV/0!</v>
      </c>
      <c r="D389" s="35" t="e">
        <f t="shared" si="124"/>
        <v>#DIV/0!</v>
      </c>
      <c r="E389" s="41" t="e">
        <f t="shared" si="125"/>
        <v>#DIV/0!</v>
      </c>
      <c r="F389" s="36" t="e">
        <f t="shared" si="126"/>
        <v>#DIV/0!</v>
      </c>
      <c r="G389" s="36" t="e">
        <f t="shared" si="127"/>
        <v>#DIV/0!</v>
      </c>
      <c r="H389" s="36" t="e">
        <f t="shared" si="128"/>
        <v>#DIV/0!</v>
      </c>
      <c r="W389" s="3"/>
      <c r="X389">
        <v>0.119999999999999</v>
      </c>
      <c r="Y389" s="3" t="e">
        <f t="shared" si="117"/>
        <v>#DIV/0!</v>
      </c>
      <c r="Z389" s="36" t="e">
        <f t="shared" si="106"/>
        <v>#DIV/0!</v>
      </c>
      <c r="AA389" s="3" t="e">
        <f t="shared" si="118"/>
        <v>#DIV/0!</v>
      </c>
      <c r="AB389" s="36" t="e">
        <f t="shared" si="107"/>
        <v>#DIV/0!</v>
      </c>
      <c r="AC389" s="3" t="e">
        <f t="shared" si="108"/>
        <v>#DIV/0!</v>
      </c>
      <c r="AD389" s="36" t="e">
        <f t="shared" si="109"/>
        <v>#DIV/0!</v>
      </c>
      <c r="AE389" s="36" t="e">
        <f t="shared" si="121"/>
        <v>#DIV/0!</v>
      </c>
      <c r="AF389" s="36" t="e">
        <f t="shared" si="119"/>
        <v>#DIV/0!</v>
      </c>
      <c r="AG389" s="3" t="e">
        <f t="shared" si="120"/>
        <v>#DIV/0!</v>
      </c>
      <c r="AH389" s="36" t="e">
        <f t="shared" si="111"/>
        <v>#DIV/0!</v>
      </c>
      <c r="AI389" s="36" t="e">
        <f t="shared" si="112"/>
        <v>#DIV/0!</v>
      </c>
      <c r="AJ389" s="3" t="e">
        <f t="shared" si="113"/>
        <v>#DIV/0!</v>
      </c>
      <c r="AK389" s="36" t="e">
        <f t="shared" si="114"/>
        <v>#DIV/0!</v>
      </c>
      <c r="AL389" s="36" t="e">
        <f t="shared" si="122"/>
        <v>#DIV/0!</v>
      </c>
      <c r="AM389" s="36" t="e">
        <f t="shared" si="116"/>
        <v>#DIV/0!</v>
      </c>
      <c r="AU389"/>
    </row>
    <row r="390" spans="2:47" ht="15.95" customHeight="1">
      <c r="B390" s="41">
        <v>0.40500000000000003</v>
      </c>
      <c r="C390" s="41" t="e">
        <f t="shared" si="123"/>
        <v>#DIV/0!</v>
      </c>
      <c r="D390" s="35" t="e">
        <f t="shared" si="124"/>
        <v>#DIV/0!</v>
      </c>
      <c r="E390" s="41" t="e">
        <f t="shared" si="125"/>
        <v>#DIV/0!</v>
      </c>
      <c r="F390" s="36" t="e">
        <f t="shared" si="126"/>
        <v>#DIV/0!</v>
      </c>
      <c r="G390" s="36" t="e">
        <f t="shared" si="127"/>
        <v>#DIV/0!</v>
      </c>
      <c r="H390" s="36" t="e">
        <f t="shared" si="128"/>
        <v>#DIV/0!</v>
      </c>
      <c r="W390" s="3"/>
      <c r="X390">
        <v>0.11499999999999901</v>
      </c>
      <c r="Y390" s="3" t="e">
        <f t="shared" si="117"/>
        <v>#DIV/0!</v>
      </c>
      <c r="Z390" s="36" t="e">
        <f t="shared" si="106"/>
        <v>#DIV/0!</v>
      </c>
      <c r="AA390" s="3" t="e">
        <f t="shared" si="118"/>
        <v>#DIV/0!</v>
      </c>
      <c r="AB390" s="36" t="e">
        <f t="shared" si="107"/>
        <v>#DIV/0!</v>
      </c>
      <c r="AC390" s="3" t="e">
        <f t="shared" si="108"/>
        <v>#DIV/0!</v>
      </c>
      <c r="AD390" s="36" t="e">
        <f t="shared" si="109"/>
        <v>#DIV/0!</v>
      </c>
      <c r="AE390" s="36" t="e">
        <f t="shared" si="121"/>
        <v>#DIV/0!</v>
      </c>
      <c r="AF390" s="36" t="e">
        <f t="shared" si="119"/>
        <v>#DIV/0!</v>
      </c>
      <c r="AG390" s="3" t="e">
        <f t="shared" si="120"/>
        <v>#DIV/0!</v>
      </c>
      <c r="AH390" s="36" t="e">
        <f t="shared" si="111"/>
        <v>#DIV/0!</v>
      </c>
      <c r="AI390" s="36" t="e">
        <f t="shared" si="112"/>
        <v>#DIV/0!</v>
      </c>
      <c r="AJ390" s="3" t="e">
        <f t="shared" si="113"/>
        <v>#DIV/0!</v>
      </c>
      <c r="AK390" s="36" t="e">
        <f t="shared" si="114"/>
        <v>#DIV/0!</v>
      </c>
      <c r="AL390" s="36" t="e">
        <f t="shared" si="122"/>
        <v>#DIV/0!</v>
      </c>
      <c r="AM390" s="36" t="e">
        <f t="shared" si="116"/>
        <v>#DIV/0!</v>
      </c>
      <c r="AU390"/>
    </row>
    <row r="391" spans="2:47" ht="15.95" customHeight="1">
      <c r="B391" s="41">
        <v>0.41</v>
      </c>
      <c r="C391" s="41" t="e">
        <f t="shared" si="123"/>
        <v>#DIV/0!</v>
      </c>
      <c r="D391" s="35" t="e">
        <f t="shared" si="124"/>
        <v>#DIV/0!</v>
      </c>
      <c r="E391" s="41" t="e">
        <f t="shared" si="125"/>
        <v>#DIV/0!</v>
      </c>
      <c r="F391" s="36" t="e">
        <f t="shared" si="126"/>
        <v>#DIV/0!</v>
      </c>
      <c r="G391" s="36" t="e">
        <f t="shared" si="127"/>
        <v>#DIV/0!</v>
      </c>
      <c r="H391" s="36" t="e">
        <f t="shared" si="128"/>
        <v>#DIV/0!</v>
      </c>
      <c r="W391" s="3"/>
      <c r="X391">
        <v>0.109999999999999</v>
      </c>
      <c r="Y391" s="3" t="e">
        <f t="shared" si="117"/>
        <v>#DIV/0!</v>
      </c>
      <c r="Z391" s="36" t="e">
        <f t="shared" si="106"/>
        <v>#DIV/0!</v>
      </c>
      <c r="AA391" s="3" t="e">
        <f t="shared" si="118"/>
        <v>#DIV/0!</v>
      </c>
      <c r="AB391" s="36" t="e">
        <f t="shared" si="107"/>
        <v>#DIV/0!</v>
      </c>
      <c r="AC391" s="3" t="e">
        <f t="shared" si="108"/>
        <v>#DIV/0!</v>
      </c>
      <c r="AD391" s="36" t="e">
        <f t="shared" si="109"/>
        <v>#DIV/0!</v>
      </c>
      <c r="AE391" s="36" t="e">
        <f t="shared" si="121"/>
        <v>#DIV/0!</v>
      </c>
      <c r="AF391" s="36" t="e">
        <f t="shared" si="119"/>
        <v>#DIV/0!</v>
      </c>
      <c r="AG391" s="3" t="e">
        <f t="shared" si="120"/>
        <v>#DIV/0!</v>
      </c>
      <c r="AH391" s="36" t="e">
        <f t="shared" si="111"/>
        <v>#DIV/0!</v>
      </c>
      <c r="AI391" s="36" t="e">
        <f t="shared" si="112"/>
        <v>#DIV/0!</v>
      </c>
      <c r="AJ391" s="3" t="e">
        <f t="shared" si="113"/>
        <v>#DIV/0!</v>
      </c>
      <c r="AK391" s="36" t="e">
        <f t="shared" si="114"/>
        <v>#DIV/0!</v>
      </c>
      <c r="AL391" s="36" t="e">
        <f t="shared" si="122"/>
        <v>#DIV/0!</v>
      </c>
      <c r="AM391" s="36" t="e">
        <f t="shared" si="116"/>
        <v>#DIV/0!</v>
      </c>
      <c r="AU391"/>
    </row>
    <row r="392" spans="2:47" ht="15.95" customHeight="1">
      <c r="B392" s="41">
        <v>0.41499999999999998</v>
      </c>
      <c r="C392" s="41" t="e">
        <f t="shared" si="123"/>
        <v>#DIV/0!</v>
      </c>
      <c r="D392" s="35" t="e">
        <f t="shared" si="124"/>
        <v>#DIV/0!</v>
      </c>
      <c r="E392" s="41" t="e">
        <f t="shared" si="125"/>
        <v>#DIV/0!</v>
      </c>
      <c r="F392" s="36" t="e">
        <f t="shared" si="126"/>
        <v>#DIV/0!</v>
      </c>
      <c r="G392" s="36" t="e">
        <f t="shared" si="127"/>
        <v>#DIV/0!</v>
      </c>
      <c r="H392" s="36" t="e">
        <f t="shared" si="128"/>
        <v>#DIV/0!</v>
      </c>
      <c r="W392" s="3"/>
      <c r="X392">
        <v>0.104999999999999</v>
      </c>
      <c r="Y392" s="3" t="e">
        <f t="shared" si="117"/>
        <v>#DIV/0!</v>
      </c>
      <c r="Z392" s="36" t="e">
        <f t="shared" si="106"/>
        <v>#DIV/0!</v>
      </c>
      <c r="AA392" s="3" t="e">
        <f t="shared" si="118"/>
        <v>#DIV/0!</v>
      </c>
      <c r="AB392" s="36" t="e">
        <f t="shared" si="107"/>
        <v>#DIV/0!</v>
      </c>
      <c r="AC392" s="3" t="e">
        <f t="shared" si="108"/>
        <v>#DIV/0!</v>
      </c>
      <c r="AD392" s="36" t="e">
        <f t="shared" si="109"/>
        <v>#DIV/0!</v>
      </c>
      <c r="AE392" s="36" t="e">
        <f t="shared" si="121"/>
        <v>#DIV/0!</v>
      </c>
      <c r="AF392" s="36" t="e">
        <f t="shared" si="119"/>
        <v>#DIV/0!</v>
      </c>
      <c r="AG392" s="3" t="e">
        <f t="shared" si="120"/>
        <v>#DIV/0!</v>
      </c>
      <c r="AH392" s="36" t="e">
        <f t="shared" si="111"/>
        <v>#DIV/0!</v>
      </c>
      <c r="AI392" s="36" t="e">
        <f t="shared" si="112"/>
        <v>#DIV/0!</v>
      </c>
      <c r="AJ392" s="3" t="e">
        <f t="shared" si="113"/>
        <v>#DIV/0!</v>
      </c>
      <c r="AK392" s="36" t="e">
        <f t="shared" si="114"/>
        <v>#DIV/0!</v>
      </c>
      <c r="AL392" s="36" t="e">
        <f t="shared" si="122"/>
        <v>#DIV/0!</v>
      </c>
      <c r="AM392" s="36" t="e">
        <f t="shared" si="116"/>
        <v>#DIV/0!</v>
      </c>
      <c r="AU392"/>
    </row>
    <row r="393" spans="2:47" ht="15.95" customHeight="1">
      <c r="B393" s="41">
        <v>0.42</v>
      </c>
      <c r="C393" s="41" t="e">
        <f t="shared" si="123"/>
        <v>#DIV/0!</v>
      </c>
      <c r="D393" s="35" t="e">
        <f t="shared" si="124"/>
        <v>#DIV/0!</v>
      </c>
      <c r="E393" s="41" t="e">
        <f t="shared" si="125"/>
        <v>#DIV/0!</v>
      </c>
      <c r="F393" s="36" t="e">
        <f t="shared" si="126"/>
        <v>#DIV/0!</v>
      </c>
      <c r="G393" s="36" t="e">
        <f t="shared" si="127"/>
        <v>#DIV/0!</v>
      </c>
      <c r="H393" s="36" t="e">
        <f t="shared" si="128"/>
        <v>#DIV/0!</v>
      </c>
      <c r="W393" s="3"/>
      <c r="X393">
        <v>9.9999999999999006E-2</v>
      </c>
      <c r="Y393" s="3" t="e">
        <f t="shared" si="117"/>
        <v>#DIV/0!</v>
      </c>
      <c r="Z393" s="36" t="e">
        <f t="shared" si="106"/>
        <v>#DIV/0!</v>
      </c>
      <c r="AA393" s="3" t="e">
        <f t="shared" si="118"/>
        <v>#DIV/0!</v>
      </c>
      <c r="AB393" s="36" t="e">
        <f t="shared" si="107"/>
        <v>#DIV/0!</v>
      </c>
      <c r="AC393" s="3" t="e">
        <f t="shared" si="108"/>
        <v>#DIV/0!</v>
      </c>
      <c r="AD393" s="36" t="e">
        <f t="shared" si="109"/>
        <v>#DIV/0!</v>
      </c>
      <c r="AE393" s="36" t="e">
        <f t="shared" si="121"/>
        <v>#DIV/0!</v>
      </c>
      <c r="AF393" s="36" t="e">
        <f t="shared" si="119"/>
        <v>#DIV/0!</v>
      </c>
      <c r="AG393" s="3" t="e">
        <f t="shared" si="120"/>
        <v>#DIV/0!</v>
      </c>
      <c r="AH393" s="36" t="e">
        <f t="shared" si="111"/>
        <v>#DIV/0!</v>
      </c>
      <c r="AI393" s="36" t="e">
        <f t="shared" si="112"/>
        <v>#DIV/0!</v>
      </c>
      <c r="AJ393" s="3" t="e">
        <f t="shared" si="113"/>
        <v>#DIV/0!</v>
      </c>
      <c r="AK393" s="36" t="e">
        <f t="shared" si="114"/>
        <v>#DIV/0!</v>
      </c>
      <c r="AL393" s="36" t="e">
        <f t="shared" si="122"/>
        <v>#DIV/0!</v>
      </c>
      <c r="AM393" s="36" t="e">
        <f t="shared" si="116"/>
        <v>#DIV/0!</v>
      </c>
      <c r="AU393"/>
    </row>
    <row r="394" spans="2:47" ht="15.95" customHeight="1">
      <c r="B394" s="41">
        <v>0.42499999999999999</v>
      </c>
      <c r="C394" s="41" t="e">
        <f t="shared" si="123"/>
        <v>#DIV/0!</v>
      </c>
      <c r="D394" s="35" t="e">
        <f t="shared" si="124"/>
        <v>#DIV/0!</v>
      </c>
      <c r="E394" s="41" t="e">
        <f t="shared" si="125"/>
        <v>#DIV/0!</v>
      </c>
      <c r="F394" s="36" t="e">
        <f t="shared" si="126"/>
        <v>#DIV/0!</v>
      </c>
      <c r="G394" s="36" t="e">
        <f t="shared" si="127"/>
        <v>#DIV/0!</v>
      </c>
      <c r="H394" s="36" t="e">
        <f t="shared" si="128"/>
        <v>#DIV/0!</v>
      </c>
      <c r="W394" s="3"/>
      <c r="X394">
        <v>9.4999999999999002E-2</v>
      </c>
      <c r="Y394" s="3" t="e">
        <f t="shared" si="117"/>
        <v>#DIV/0!</v>
      </c>
      <c r="Z394" s="36" t="e">
        <f t="shared" si="106"/>
        <v>#DIV/0!</v>
      </c>
      <c r="AA394" s="3" t="e">
        <f t="shared" si="118"/>
        <v>#DIV/0!</v>
      </c>
      <c r="AB394" s="36" t="e">
        <f t="shared" si="107"/>
        <v>#DIV/0!</v>
      </c>
      <c r="AC394" s="3" t="e">
        <f t="shared" si="108"/>
        <v>#DIV/0!</v>
      </c>
      <c r="AD394" s="36" t="e">
        <f t="shared" si="109"/>
        <v>#DIV/0!</v>
      </c>
      <c r="AE394" s="36" t="e">
        <f t="shared" si="121"/>
        <v>#DIV/0!</v>
      </c>
      <c r="AF394" s="36" t="e">
        <f t="shared" si="119"/>
        <v>#DIV/0!</v>
      </c>
      <c r="AG394" s="3" t="e">
        <f t="shared" si="120"/>
        <v>#DIV/0!</v>
      </c>
      <c r="AH394" s="36" t="e">
        <f t="shared" si="111"/>
        <v>#DIV/0!</v>
      </c>
      <c r="AI394" s="36" t="e">
        <f t="shared" si="112"/>
        <v>#DIV/0!</v>
      </c>
      <c r="AJ394" s="3" t="e">
        <f t="shared" si="113"/>
        <v>#DIV/0!</v>
      </c>
      <c r="AK394" s="36" t="e">
        <f t="shared" si="114"/>
        <v>#DIV/0!</v>
      </c>
      <c r="AL394" s="36" t="e">
        <f t="shared" si="122"/>
        <v>#DIV/0!</v>
      </c>
      <c r="AM394" s="36" t="e">
        <f t="shared" si="116"/>
        <v>#DIV/0!</v>
      </c>
      <c r="AU394"/>
    </row>
    <row r="395" spans="2:47" ht="15.95" customHeight="1">
      <c r="B395" s="41">
        <v>0.43</v>
      </c>
      <c r="C395" s="41" t="e">
        <f t="shared" si="123"/>
        <v>#DIV/0!</v>
      </c>
      <c r="D395" s="35" t="e">
        <f t="shared" si="124"/>
        <v>#DIV/0!</v>
      </c>
      <c r="E395" s="41" t="e">
        <f t="shared" si="125"/>
        <v>#DIV/0!</v>
      </c>
      <c r="F395" s="36" t="e">
        <f t="shared" si="126"/>
        <v>#DIV/0!</v>
      </c>
      <c r="G395" s="36" t="e">
        <f t="shared" si="127"/>
        <v>#DIV/0!</v>
      </c>
      <c r="H395" s="36" t="e">
        <f t="shared" si="128"/>
        <v>#DIV/0!</v>
      </c>
      <c r="W395" s="3"/>
      <c r="X395">
        <v>8.9999999999998997E-2</v>
      </c>
      <c r="Y395" s="3" t="e">
        <f t="shared" si="117"/>
        <v>#DIV/0!</v>
      </c>
      <c r="Z395" s="36" t="e">
        <f t="shared" si="106"/>
        <v>#DIV/0!</v>
      </c>
      <c r="AA395" s="3" t="e">
        <f t="shared" si="118"/>
        <v>#DIV/0!</v>
      </c>
      <c r="AB395" s="36" t="e">
        <f t="shared" si="107"/>
        <v>#DIV/0!</v>
      </c>
      <c r="AC395" s="3" t="e">
        <f t="shared" si="108"/>
        <v>#DIV/0!</v>
      </c>
      <c r="AD395" s="36" t="e">
        <f t="shared" si="109"/>
        <v>#DIV/0!</v>
      </c>
      <c r="AE395" s="36" t="e">
        <f t="shared" si="121"/>
        <v>#DIV/0!</v>
      </c>
      <c r="AF395" s="36" t="e">
        <f t="shared" si="119"/>
        <v>#DIV/0!</v>
      </c>
      <c r="AG395" s="3" t="e">
        <f t="shared" si="120"/>
        <v>#DIV/0!</v>
      </c>
      <c r="AH395" s="36" t="e">
        <f t="shared" si="111"/>
        <v>#DIV/0!</v>
      </c>
      <c r="AI395" s="36" t="e">
        <f t="shared" si="112"/>
        <v>#DIV/0!</v>
      </c>
      <c r="AJ395" s="3" t="e">
        <f t="shared" si="113"/>
        <v>#DIV/0!</v>
      </c>
      <c r="AK395" s="36" t="e">
        <f t="shared" si="114"/>
        <v>#DIV/0!</v>
      </c>
      <c r="AL395" s="36" t="e">
        <f t="shared" si="122"/>
        <v>#DIV/0!</v>
      </c>
      <c r="AM395" s="36" t="e">
        <f t="shared" si="116"/>
        <v>#DIV/0!</v>
      </c>
      <c r="AU395"/>
    </row>
    <row r="396" spans="2:47" ht="15.95" customHeight="1">
      <c r="B396" s="41">
        <v>0.435</v>
      </c>
      <c r="C396" s="41" t="e">
        <f t="shared" si="123"/>
        <v>#DIV/0!</v>
      </c>
      <c r="D396" s="35" t="e">
        <f t="shared" si="124"/>
        <v>#DIV/0!</v>
      </c>
      <c r="E396" s="41" t="e">
        <f t="shared" si="125"/>
        <v>#DIV/0!</v>
      </c>
      <c r="F396" s="36" t="e">
        <f t="shared" si="126"/>
        <v>#DIV/0!</v>
      </c>
      <c r="G396" s="36" t="e">
        <f t="shared" si="127"/>
        <v>#DIV/0!</v>
      </c>
      <c r="H396" s="36" t="e">
        <f t="shared" si="128"/>
        <v>#DIV/0!</v>
      </c>
      <c r="W396" s="3"/>
      <c r="X396">
        <v>8.4999999999999007E-2</v>
      </c>
      <c r="Y396" s="3" t="e">
        <f t="shared" si="117"/>
        <v>#DIV/0!</v>
      </c>
      <c r="Z396" s="36" t="e">
        <f t="shared" si="106"/>
        <v>#DIV/0!</v>
      </c>
      <c r="AA396" s="3" t="e">
        <f t="shared" si="118"/>
        <v>#DIV/0!</v>
      </c>
      <c r="AB396" s="36" t="e">
        <f t="shared" si="107"/>
        <v>#DIV/0!</v>
      </c>
      <c r="AC396" s="3" t="e">
        <f t="shared" si="108"/>
        <v>#DIV/0!</v>
      </c>
      <c r="AD396" s="36" t="e">
        <f t="shared" si="109"/>
        <v>#DIV/0!</v>
      </c>
      <c r="AE396" s="36" t="e">
        <f t="shared" si="121"/>
        <v>#DIV/0!</v>
      </c>
      <c r="AF396" s="36" t="e">
        <f t="shared" si="119"/>
        <v>#DIV/0!</v>
      </c>
      <c r="AG396" s="3" t="e">
        <f t="shared" si="120"/>
        <v>#DIV/0!</v>
      </c>
      <c r="AH396" s="36" t="e">
        <f t="shared" si="111"/>
        <v>#DIV/0!</v>
      </c>
      <c r="AI396" s="36" t="e">
        <f t="shared" si="112"/>
        <v>#DIV/0!</v>
      </c>
      <c r="AJ396" s="3" t="e">
        <f t="shared" si="113"/>
        <v>#DIV/0!</v>
      </c>
      <c r="AK396" s="36" t="e">
        <f t="shared" si="114"/>
        <v>#DIV/0!</v>
      </c>
      <c r="AL396" s="36" t="e">
        <f t="shared" si="122"/>
        <v>#DIV/0!</v>
      </c>
      <c r="AM396" s="36" t="e">
        <f t="shared" si="116"/>
        <v>#DIV/0!</v>
      </c>
      <c r="AU396"/>
    </row>
    <row r="397" spans="2:47" ht="15.95" customHeight="1">
      <c r="B397" s="41">
        <v>0.44</v>
      </c>
      <c r="C397" s="41" t="e">
        <f t="shared" si="123"/>
        <v>#DIV/0!</v>
      </c>
      <c r="D397" s="35" t="e">
        <f t="shared" si="124"/>
        <v>#DIV/0!</v>
      </c>
      <c r="E397" s="41" t="e">
        <f t="shared" si="125"/>
        <v>#DIV/0!</v>
      </c>
      <c r="F397" s="36" t="e">
        <f t="shared" si="126"/>
        <v>#DIV/0!</v>
      </c>
      <c r="G397" s="36" t="e">
        <f t="shared" si="127"/>
        <v>#DIV/0!</v>
      </c>
      <c r="H397" s="36" t="e">
        <f t="shared" si="128"/>
        <v>#DIV/0!</v>
      </c>
      <c r="W397" s="3"/>
      <c r="X397">
        <v>7.9999999999999002E-2</v>
      </c>
      <c r="Y397" s="3" t="e">
        <f t="shared" si="117"/>
        <v>#DIV/0!</v>
      </c>
      <c r="Z397" s="36" t="e">
        <f t="shared" si="106"/>
        <v>#DIV/0!</v>
      </c>
      <c r="AA397" s="3" t="e">
        <f t="shared" si="118"/>
        <v>#DIV/0!</v>
      </c>
      <c r="AB397" s="36" t="e">
        <f t="shared" si="107"/>
        <v>#DIV/0!</v>
      </c>
      <c r="AC397" s="3" t="e">
        <f t="shared" si="108"/>
        <v>#DIV/0!</v>
      </c>
      <c r="AD397" s="36" t="e">
        <f t="shared" si="109"/>
        <v>#DIV/0!</v>
      </c>
      <c r="AE397" s="36" t="e">
        <f t="shared" si="121"/>
        <v>#DIV/0!</v>
      </c>
      <c r="AF397" s="36" t="e">
        <f t="shared" si="119"/>
        <v>#DIV/0!</v>
      </c>
      <c r="AG397" s="3" t="e">
        <f t="shared" si="120"/>
        <v>#DIV/0!</v>
      </c>
      <c r="AH397" s="36" t="e">
        <f t="shared" si="111"/>
        <v>#DIV/0!</v>
      </c>
      <c r="AI397" s="36" t="e">
        <f t="shared" si="112"/>
        <v>#DIV/0!</v>
      </c>
      <c r="AJ397" s="3" t="e">
        <f t="shared" si="113"/>
        <v>#DIV/0!</v>
      </c>
      <c r="AK397" s="36" t="e">
        <f t="shared" si="114"/>
        <v>#DIV/0!</v>
      </c>
      <c r="AL397" s="36" t="e">
        <f t="shared" si="122"/>
        <v>#DIV/0!</v>
      </c>
      <c r="AM397" s="36" t="e">
        <f t="shared" si="116"/>
        <v>#DIV/0!</v>
      </c>
      <c r="AU397"/>
    </row>
    <row r="398" spans="2:47" ht="15.95" customHeight="1">
      <c r="B398" s="41">
        <v>0.44500000000000001</v>
      </c>
      <c r="C398" s="41" t="e">
        <f t="shared" si="123"/>
        <v>#DIV/0!</v>
      </c>
      <c r="D398" s="35" t="e">
        <f t="shared" si="124"/>
        <v>#DIV/0!</v>
      </c>
      <c r="E398" s="41" t="e">
        <f t="shared" si="125"/>
        <v>#DIV/0!</v>
      </c>
      <c r="F398" s="36" t="e">
        <f t="shared" si="126"/>
        <v>#DIV/0!</v>
      </c>
      <c r="G398" s="36" t="e">
        <f t="shared" si="127"/>
        <v>#DIV/0!</v>
      </c>
      <c r="H398" s="36" t="e">
        <f t="shared" si="128"/>
        <v>#DIV/0!</v>
      </c>
      <c r="W398" s="3"/>
      <c r="X398">
        <v>7.4999999999998998E-2</v>
      </c>
      <c r="Y398" s="3" t="e">
        <f t="shared" si="117"/>
        <v>#DIV/0!</v>
      </c>
      <c r="Z398" s="36" t="e">
        <f t="shared" si="106"/>
        <v>#DIV/0!</v>
      </c>
      <c r="AA398" s="3" t="e">
        <f t="shared" si="118"/>
        <v>#DIV/0!</v>
      </c>
      <c r="AB398" s="36" t="e">
        <f t="shared" si="107"/>
        <v>#DIV/0!</v>
      </c>
      <c r="AC398" s="3" t="e">
        <f t="shared" si="108"/>
        <v>#DIV/0!</v>
      </c>
      <c r="AD398" s="36" t="e">
        <f t="shared" si="109"/>
        <v>#DIV/0!</v>
      </c>
      <c r="AE398" s="36" t="e">
        <f t="shared" si="121"/>
        <v>#DIV/0!</v>
      </c>
      <c r="AF398" s="36" t="e">
        <f t="shared" si="119"/>
        <v>#DIV/0!</v>
      </c>
      <c r="AG398" s="3" t="e">
        <f t="shared" si="120"/>
        <v>#DIV/0!</v>
      </c>
      <c r="AH398" s="36" t="e">
        <f t="shared" si="111"/>
        <v>#DIV/0!</v>
      </c>
      <c r="AI398" s="36" t="e">
        <f t="shared" si="112"/>
        <v>#DIV/0!</v>
      </c>
      <c r="AJ398" s="3" t="e">
        <f t="shared" si="113"/>
        <v>#DIV/0!</v>
      </c>
      <c r="AK398" s="36" t="e">
        <f t="shared" si="114"/>
        <v>#DIV/0!</v>
      </c>
      <c r="AL398" s="36" t="e">
        <f t="shared" si="122"/>
        <v>#DIV/0!</v>
      </c>
      <c r="AM398" s="36" t="e">
        <f t="shared" si="116"/>
        <v>#DIV/0!</v>
      </c>
      <c r="AU398"/>
    </row>
    <row r="399" spans="2:47" ht="15.95" customHeight="1">
      <c r="B399" s="41">
        <v>0.45</v>
      </c>
      <c r="C399" s="41" t="e">
        <f t="shared" si="123"/>
        <v>#DIV/0!</v>
      </c>
      <c r="D399" s="35" t="e">
        <f t="shared" si="124"/>
        <v>#DIV/0!</v>
      </c>
      <c r="E399" s="41" t="e">
        <f t="shared" si="125"/>
        <v>#DIV/0!</v>
      </c>
      <c r="F399" s="36" t="e">
        <f t="shared" si="126"/>
        <v>#DIV/0!</v>
      </c>
      <c r="G399" s="36" t="e">
        <f t="shared" si="127"/>
        <v>#DIV/0!</v>
      </c>
      <c r="H399" s="36" t="e">
        <f t="shared" si="128"/>
        <v>#DIV/0!</v>
      </c>
      <c r="W399" s="3"/>
      <c r="X399">
        <v>6.9999999999998994E-2</v>
      </c>
      <c r="Y399" s="3" t="e">
        <f t="shared" si="117"/>
        <v>#DIV/0!</v>
      </c>
      <c r="Z399" s="36" t="e">
        <f t="shared" si="106"/>
        <v>#DIV/0!</v>
      </c>
      <c r="AA399" s="3" t="e">
        <f t="shared" si="118"/>
        <v>#DIV/0!</v>
      </c>
      <c r="AB399" s="36" t="e">
        <f t="shared" si="107"/>
        <v>#DIV/0!</v>
      </c>
      <c r="AC399" s="3" t="e">
        <f t="shared" si="108"/>
        <v>#DIV/0!</v>
      </c>
      <c r="AD399" s="36" t="e">
        <f t="shared" si="109"/>
        <v>#DIV/0!</v>
      </c>
      <c r="AE399" s="36" t="e">
        <f t="shared" si="121"/>
        <v>#DIV/0!</v>
      </c>
      <c r="AF399" s="36" t="e">
        <f t="shared" si="119"/>
        <v>#DIV/0!</v>
      </c>
      <c r="AG399" s="3" t="e">
        <f t="shared" si="120"/>
        <v>#DIV/0!</v>
      </c>
      <c r="AH399" s="36" t="e">
        <f t="shared" si="111"/>
        <v>#DIV/0!</v>
      </c>
      <c r="AI399" s="36" t="e">
        <f t="shared" si="112"/>
        <v>#DIV/0!</v>
      </c>
      <c r="AJ399" s="3" t="e">
        <f t="shared" si="113"/>
        <v>#DIV/0!</v>
      </c>
      <c r="AK399" s="36" t="e">
        <f t="shared" si="114"/>
        <v>#DIV/0!</v>
      </c>
      <c r="AL399" s="36" t="e">
        <f t="shared" si="122"/>
        <v>#DIV/0!</v>
      </c>
      <c r="AM399" s="36" t="e">
        <f t="shared" si="116"/>
        <v>#DIV/0!</v>
      </c>
      <c r="AU399"/>
    </row>
    <row r="400" spans="2:47" ht="15.95" customHeight="1">
      <c r="B400" s="41">
        <v>0.45500000000000002</v>
      </c>
      <c r="C400" s="41" t="e">
        <f t="shared" si="123"/>
        <v>#DIV/0!</v>
      </c>
      <c r="D400" s="35" t="e">
        <f t="shared" si="124"/>
        <v>#DIV/0!</v>
      </c>
      <c r="E400" s="41" t="e">
        <f t="shared" si="125"/>
        <v>#DIV/0!</v>
      </c>
      <c r="F400" s="36" t="e">
        <f t="shared" si="126"/>
        <v>#DIV/0!</v>
      </c>
      <c r="G400" s="36" t="e">
        <f t="shared" si="127"/>
        <v>#DIV/0!</v>
      </c>
      <c r="H400" s="36" t="e">
        <f t="shared" si="128"/>
        <v>#DIV/0!</v>
      </c>
      <c r="W400" s="3"/>
      <c r="X400">
        <v>6.4999999999998906E-2</v>
      </c>
      <c r="Y400" s="3" t="e">
        <f t="shared" si="117"/>
        <v>#DIV/0!</v>
      </c>
      <c r="Z400" s="36" t="e">
        <f t="shared" si="106"/>
        <v>#DIV/0!</v>
      </c>
      <c r="AA400" s="3" t="e">
        <f t="shared" si="118"/>
        <v>#DIV/0!</v>
      </c>
      <c r="AB400" s="36" t="e">
        <f t="shared" si="107"/>
        <v>#DIV/0!</v>
      </c>
      <c r="AC400" s="3" t="e">
        <f t="shared" si="108"/>
        <v>#DIV/0!</v>
      </c>
      <c r="AD400" s="36" t="e">
        <f t="shared" si="109"/>
        <v>#DIV/0!</v>
      </c>
      <c r="AE400" s="36" t="e">
        <f t="shared" si="121"/>
        <v>#DIV/0!</v>
      </c>
      <c r="AF400" s="36" t="e">
        <f t="shared" si="119"/>
        <v>#DIV/0!</v>
      </c>
      <c r="AG400" s="3" t="e">
        <f t="shared" si="120"/>
        <v>#DIV/0!</v>
      </c>
      <c r="AH400" s="36" t="e">
        <f t="shared" si="111"/>
        <v>#DIV/0!</v>
      </c>
      <c r="AI400" s="36" t="e">
        <f t="shared" si="112"/>
        <v>#DIV/0!</v>
      </c>
      <c r="AJ400" s="3" t="e">
        <f t="shared" si="113"/>
        <v>#DIV/0!</v>
      </c>
      <c r="AK400" s="36" t="e">
        <f t="shared" si="114"/>
        <v>#DIV/0!</v>
      </c>
      <c r="AL400" s="36" t="e">
        <f t="shared" si="122"/>
        <v>#DIV/0!</v>
      </c>
      <c r="AM400" s="36" t="e">
        <f t="shared" si="116"/>
        <v>#DIV/0!</v>
      </c>
      <c r="AU400"/>
    </row>
    <row r="401" spans="2:47" ht="15.95" customHeight="1">
      <c r="B401" s="41">
        <v>0.46</v>
      </c>
      <c r="C401" s="41" t="e">
        <f t="shared" si="123"/>
        <v>#DIV/0!</v>
      </c>
      <c r="D401" s="35" t="e">
        <f t="shared" si="124"/>
        <v>#DIV/0!</v>
      </c>
      <c r="E401" s="41" t="e">
        <f t="shared" si="125"/>
        <v>#DIV/0!</v>
      </c>
      <c r="F401" s="36" t="e">
        <f t="shared" si="126"/>
        <v>#DIV/0!</v>
      </c>
      <c r="G401" s="36" t="e">
        <f t="shared" si="127"/>
        <v>#DIV/0!</v>
      </c>
      <c r="H401" s="36" t="e">
        <f t="shared" si="128"/>
        <v>#DIV/0!</v>
      </c>
      <c r="W401" s="3"/>
      <c r="X401">
        <v>5.9999999999999103E-2</v>
      </c>
      <c r="Y401" s="3" t="e">
        <f t="shared" si="117"/>
        <v>#DIV/0!</v>
      </c>
      <c r="Z401" s="36" t="e">
        <f t="shared" si="106"/>
        <v>#DIV/0!</v>
      </c>
      <c r="AA401" s="3" t="e">
        <f t="shared" si="118"/>
        <v>#DIV/0!</v>
      </c>
      <c r="AB401" s="36" t="e">
        <f t="shared" si="107"/>
        <v>#DIV/0!</v>
      </c>
      <c r="AC401" s="3" t="e">
        <f t="shared" si="108"/>
        <v>#DIV/0!</v>
      </c>
      <c r="AD401" s="36" t="e">
        <f t="shared" si="109"/>
        <v>#DIV/0!</v>
      </c>
      <c r="AE401" s="36" t="e">
        <f t="shared" si="121"/>
        <v>#DIV/0!</v>
      </c>
      <c r="AF401" s="36" t="e">
        <f t="shared" si="119"/>
        <v>#DIV/0!</v>
      </c>
      <c r="AG401" s="3" t="e">
        <f t="shared" si="120"/>
        <v>#DIV/0!</v>
      </c>
      <c r="AH401" s="36" t="e">
        <f t="shared" si="111"/>
        <v>#DIV/0!</v>
      </c>
      <c r="AI401" s="36" t="e">
        <f t="shared" si="112"/>
        <v>#DIV/0!</v>
      </c>
      <c r="AJ401" s="3" t="e">
        <f t="shared" si="113"/>
        <v>#DIV/0!</v>
      </c>
      <c r="AK401" s="36" t="e">
        <f t="shared" si="114"/>
        <v>#DIV/0!</v>
      </c>
      <c r="AL401" s="36" t="e">
        <f t="shared" si="122"/>
        <v>#DIV/0!</v>
      </c>
      <c r="AM401" s="36" t="e">
        <f t="shared" si="116"/>
        <v>#DIV/0!</v>
      </c>
      <c r="AU401"/>
    </row>
    <row r="402" spans="2:47" ht="15.95" customHeight="1">
      <c r="B402" s="41">
        <v>0.46500000000000002</v>
      </c>
      <c r="C402" s="41" t="e">
        <f t="shared" si="123"/>
        <v>#DIV/0!</v>
      </c>
      <c r="D402" s="35" t="e">
        <f t="shared" si="124"/>
        <v>#DIV/0!</v>
      </c>
      <c r="E402" s="41" t="e">
        <f t="shared" si="125"/>
        <v>#DIV/0!</v>
      </c>
      <c r="F402" s="36" t="e">
        <f t="shared" si="126"/>
        <v>#DIV/0!</v>
      </c>
      <c r="G402" s="36" t="e">
        <f t="shared" si="127"/>
        <v>#DIV/0!</v>
      </c>
      <c r="H402" s="36" t="e">
        <f t="shared" si="128"/>
        <v>#DIV/0!</v>
      </c>
      <c r="W402" s="3"/>
      <c r="X402">
        <v>5.4999999999999001E-2</v>
      </c>
      <c r="Y402" s="3" t="e">
        <f t="shared" si="117"/>
        <v>#DIV/0!</v>
      </c>
      <c r="Z402" s="36" t="e">
        <f t="shared" si="106"/>
        <v>#DIV/0!</v>
      </c>
      <c r="AA402" s="3" t="e">
        <f t="shared" si="118"/>
        <v>#DIV/0!</v>
      </c>
      <c r="AB402" s="36" t="e">
        <f t="shared" si="107"/>
        <v>#DIV/0!</v>
      </c>
      <c r="AC402" s="3" t="e">
        <f t="shared" si="108"/>
        <v>#DIV/0!</v>
      </c>
      <c r="AD402" s="36" t="e">
        <f t="shared" si="109"/>
        <v>#DIV/0!</v>
      </c>
      <c r="AE402" s="36" t="e">
        <f t="shared" si="121"/>
        <v>#DIV/0!</v>
      </c>
      <c r="AF402" s="36" t="e">
        <f t="shared" si="119"/>
        <v>#DIV/0!</v>
      </c>
      <c r="AG402" s="3" t="e">
        <f t="shared" si="120"/>
        <v>#DIV/0!</v>
      </c>
      <c r="AH402" s="36" t="e">
        <f t="shared" si="111"/>
        <v>#DIV/0!</v>
      </c>
      <c r="AI402" s="36" t="e">
        <f t="shared" si="112"/>
        <v>#DIV/0!</v>
      </c>
      <c r="AJ402" s="3" t="e">
        <f t="shared" si="113"/>
        <v>#DIV/0!</v>
      </c>
      <c r="AK402" s="36" t="e">
        <f t="shared" si="114"/>
        <v>#DIV/0!</v>
      </c>
      <c r="AL402" s="36" t="e">
        <f t="shared" si="122"/>
        <v>#DIV/0!</v>
      </c>
      <c r="AM402" s="36" t="e">
        <f t="shared" si="116"/>
        <v>#DIV/0!</v>
      </c>
      <c r="AU402"/>
    </row>
    <row r="403" spans="2:47" ht="15.95" customHeight="1">
      <c r="B403" s="41">
        <v>0.47</v>
      </c>
      <c r="C403" s="41" t="e">
        <f t="shared" si="123"/>
        <v>#DIV/0!</v>
      </c>
      <c r="D403" s="35" t="e">
        <f t="shared" si="124"/>
        <v>#DIV/0!</v>
      </c>
      <c r="E403" s="41" t="e">
        <f t="shared" si="125"/>
        <v>#DIV/0!</v>
      </c>
      <c r="F403" s="36" t="e">
        <f t="shared" si="126"/>
        <v>#DIV/0!</v>
      </c>
      <c r="G403" s="36" t="e">
        <f t="shared" si="127"/>
        <v>#DIV/0!</v>
      </c>
      <c r="H403" s="36" t="e">
        <f t="shared" si="128"/>
        <v>#DIV/0!</v>
      </c>
      <c r="W403" s="3"/>
      <c r="X403">
        <v>4.9999999999998997E-2</v>
      </c>
      <c r="Y403" s="3" t="e">
        <f t="shared" si="117"/>
        <v>#DIV/0!</v>
      </c>
      <c r="Z403" s="36" t="e">
        <f t="shared" si="106"/>
        <v>#DIV/0!</v>
      </c>
      <c r="AA403" s="3" t="e">
        <f t="shared" si="118"/>
        <v>#DIV/0!</v>
      </c>
      <c r="AB403" s="36" t="e">
        <f t="shared" si="107"/>
        <v>#DIV/0!</v>
      </c>
      <c r="AC403" s="3" t="e">
        <f t="shared" si="108"/>
        <v>#DIV/0!</v>
      </c>
      <c r="AD403" s="36" t="e">
        <f t="shared" si="109"/>
        <v>#DIV/0!</v>
      </c>
      <c r="AE403" s="36" t="e">
        <f t="shared" si="121"/>
        <v>#DIV/0!</v>
      </c>
      <c r="AF403" s="36" t="e">
        <f t="shared" si="119"/>
        <v>#DIV/0!</v>
      </c>
      <c r="AG403" s="3" t="e">
        <f t="shared" si="120"/>
        <v>#DIV/0!</v>
      </c>
      <c r="AH403" s="36" t="e">
        <f t="shared" si="111"/>
        <v>#DIV/0!</v>
      </c>
      <c r="AI403" s="36" t="e">
        <f t="shared" si="112"/>
        <v>#DIV/0!</v>
      </c>
      <c r="AJ403" s="3" t="e">
        <f t="shared" si="113"/>
        <v>#DIV/0!</v>
      </c>
      <c r="AK403" s="36" t="e">
        <f t="shared" si="114"/>
        <v>#DIV/0!</v>
      </c>
      <c r="AL403" s="36" t="e">
        <f t="shared" si="122"/>
        <v>#DIV/0!</v>
      </c>
      <c r="AM403" s="36" t="e">
        <f t="shared" si="116"/>
        <v>#DIV/0!</v>
      </c>
      <c r="AU403"/>
    </row>
    <row r="404" spans="2:47" ht="15.95" customHeight="1">
      <c r="B404" s="41">
        <v>0.47499999999999998</v>
      </c>
      <c r="C404" s="41" t="e">
        <f t="shared" si="123"/>
        <v>#DIV/0!</v>
      </c>
      <c r="D404" s="35" t="e">
        <f t="shared" si="124"/>
        <v>#DIV/0!</v>
      </c>
      <c r="E404" s="41" t="e">
        <f t="shared" si="125"/>
        <v>#DIV/0!</v>
      </c>
      <c r="F404" s="36" t="e">
        <f t="shared" si="126"/>
        <v>#DIV/0!</v>
      </c>
      <c r="G404" s="36" t="e">
        <f t="shared" si="127"/>
        <v>#DIV/0!</v>
      </c>
      <c r="H404" s="36" t="e">
        <f t="shared" si="128"/>
        <v>#DIV/0!</v>
      </c>
      <c r="W404" s="3"/>
      <c r="X404">
        <v>4.4999999999998999E-2</v>
      </c>
      <c r="Y404" s="3" t="e">
        <f t="shared" si="117"/>
        <v>#DIV/0!</v>
      </c>
      <c r="Z404" s="36" t="e">
        <f t="shared" si="106"/>
        <v>#DIV/0!</v>
      </c>
      <c r="AA404" s="3" t="e">
        <f t="shared" si="118"/>
        <v>#DIV/0!</v>
      </c>
      <c r="AB404" s="36" t="e">
        <f t="shared" si="107"/>
        <v>#DIV/0!</v>
      </c>
      <c r="AC404" s="3" t="e">
        <f t="shared" si="108"/>
        <v>#DIV/0!</v>
      </c>
      <c r="AD404" s="36" t="e">
        <f t="shared" si="109"/>
        <v>#DIV/0!</v>
      </c>
      <c r="AE404" s="36" t="e">
        <f t="shared" si="121"/>
        <v>#DIV/0!</v>
      </c>
      <c r="AF404" s="36" t="e">
        <f t="shared" si="119"/>
        <v>#DIV/0!</v>
      </c>
      <c r="AG404" s="3" t="e">
        <f t="shared" si="120"/>
        <v>#DIV/0!</v>
      </c>
      <c r="AH404" s="36" t="e">
        <f t="shared" si="111"/>
        <v>#DIV/0!</v>
      </c>
      <c r="AI404" s="36" t="e">
        <f t="shared" si="112"/>
        <v>#DIV/0!</v>
      </c>
      <c r="AJ404" s="3" t="e">
        <f t="shared" si="113"/>
        <v>#DIV/0!</v>
      </c>
      <c r="AK404" s="36" t="e">
        <f t="shared" si="114"/>
        <v>#DIV/0!</v>
      </c>
      <c r="AL404" s="36" t="e">
        <f t="shared" si="122"/>
        <v>#DIV/0!</v>
      </c>
      <c r="AM404" s="36" t="e">
        <f t="shared" si="116"/>
        <v>#DIV/0!</v>
      </c>
      <c r="AU404"/>
    </row>
    <row r="405" spans="2:47" ht="15.95" customHeight="1">
      <c r="B405" s="41">
        <v>0.48</v>
      </c>
      <c r="C405" s="41" t="e">
        <f t="shared" si="123"/>
        <v>#DIV/0!</v>
      </c>
      <c r="D405" s="35" t="e">
        <f t="shared" si="124"/>
        <v>#DIV/0!</v>
      </c>
      <c r="E405" s="41" t="e">
        <f t="shared" si="125"/>
        <v>#DIV/0!</v>
      </c>
      <c r="F405" s="36" t="e">
        <f t="shared" si="126"/>
        <v>#DIV/0!</v>
      </c>
      <c r="G405" s="36" t="e">
        <f t="shared" si="127"/>
        <v>#DIV/0!</v>
      </c>
      <c r="H405" s="36" t="e">
        <f t="shared" si="128"/>
        <v>#DIV/0!</v>
      </c>
      <c r="W405" s="3"/>
      <c r="X405">
        <v>3.9999999999999002E-2</v>
      </c>
      <c r="Y405" s="3" t="e">
        <f t="shared" si="117"/>
        <v>#DIV/0!</v>
      </c>
      <c r="Z405" s="36" t="e">
        <f t="shared" si="106"/>
        <v>#DIV/0!</v>
      </c>
      <c r="AA405" s="3" t="e">
        <f t="shared" ref="AA405:AA412" si="129">Z405/SIN((0.5*$H$15*PI()/180))</f>
        <v>#DIV/0!</v>
      </c>
      <c r="AB405" s="36" t="e">
        <f t="shared" si="107"/>
        <v>#DIV/0!</v>
      </c>
      <c r="AC405" s="3" t="e">
        <f t="shared" si="108"/>
        <v>#DIV/0!</v>
      </c>
      <c r="AD405" s="36" t="e">
        <f t="shared" si="109"/>
        <v>#DIV/0!</v>
      </c>
      <c r="AE405" s="36" t="e">
        <f t="shared" si="121"/>
        <v>#DIV/0!</v>
      </c>
      <c r="AF405" s="36" t="e">
        <f t="shared" ref="AF405:AF412" si="130">Y405*SIN($H$15/2*PI()/180)</f>
        <v>#DIV/0!</v>
      </c>
      <c r="AG405" s="3" t="e">
        <f t="shared" ref="AG405:AG412" si="131">AF405/SIN((0.5*$H$15*PI()/180))</f>
        <v>#DIV/0!</v>
      </c>
      <c r="AH405" s="36" t="e">
        <f t="shared" si="111"/>
        <v>#DIV/0!</v>
      </c>
      <c r="AI405" s="36" t="e">
        <f t="shared" si="112"/>
        <v>#DIV/0!</v>
      </c>
      <c r="AJ405" s="3" t="e">
        <f t="shared" si="113"/>
        <v>#DIV/0!</v>
      </c>
      <c r="AK405" s="36" t="e">
        <f t="shared" si="114"/>
        <v>#DIV/0!</v>
      </c>
      <c r="AL405" s="36" t="e">
        <f t="shared" si="122"/>
        <v>#DIV/0!</v>
      </c>
      <c r="AM405" s="36" t="e">
        <f t="shared" si="116"/>
        <v>#DIV/0!</v>
      </c>
      <c r="AU405"/>
    </row>
    <row r="406" spans="2:47" ht="15.95" customHeight="1">
      <c r="B406" s="41">
        <v>0.48499999999999999</v>
      </c>
      <c r="C406" s="41" t="e">
        <f t="shared" si="123"/>
        <v>#DIV/0!</v>
      </c>
      <c r="D406" s="35" t="e">
        <f t="shared" si="124"/>
        <v>#DIV/0!</v>
      </c>
      <c r="E406" s="41" t="e">
        <f t="shared" si="125"/>
        <v>#DIV/0!</v>
      </c>
      <c r="F406" s="36" t="e">
        <f t="shared" si="126"/>
        <v>#DIV/0!</v>
      </c>
      <c r="G406" s="36" t="e">
        <f t="shared" si="127"/>
        <v>#DIV/0!</v>
      </c>
      <c r="H406" s="36" t="e">
        <f t="shared" si="128"/>
        <v>#DIV/0!</v>
      </c>
      <c r="W406" s="3"/>
      <c r="X406">
        <v>3.4999999999998997E-2</v>
      </c>
      <c r="Y406" s="3" t="e">
        <f t="shared" si="117"/>
        <v>#DIV/0!</v>
      </c>
      <c r="Z406" s="36" t="e">
        <f t="shared" ref="Z406:Z412" si="132">Y406*SIN($F$15*PI()/180)</f>
        <v>#DIV/0!</v>
      </c>
      <c r="AA406" s="3" t="e">
        <f t="shared" si="129"/>
        <v>#DIV/0!</v>
      </c>
      <c r="AB406" s="36" t="e">
        <f t="shared" ref="AB406:AB412" si="133">X406*EXP(-($M$22/10000)*AA406)*100</f>
        <v>#DIV/0!</v>
      </c>
      <c r="AC406" s="3" t="e">
        <f t="shared" ref="AC406:AC412" si="134">Z406/SIN((0.5*$J$15*PI()/180))</f>
        <v>#DIV/0!</v>
      </c>
      <c r="AD406" s="36" t="e">
        <f t="shared" ref="AD406:AD412" si="135">X406*EXP(-($M$22/10000)*AC406)*100</f>
        <v>#DIV/0!</v>
      </c>
      <c r="AE406" s="36" t="e">
        <f t="shared" ref="AE406:AE412" si="136">Z406*(-1)</f>
        <v>#DIV/0!</v>
      </c>
      <c r="AF406" s="36" t="e">
        <f t="shared" si="130"/>
        <v>#DIV/0!</v>
      </c>
      <c r="AG406" s="3" t="e">
        <f t="shared" si="131"/>
        <v>#DIV/0!</v>
      </c>
      <c r="AH406" s="36" t="e">
        <f t="shared" ref="AH406:AH412" si="137">X406*EXP(-($M$22/10000)*AG406)*100</f>
        <v>#DIV/0!</v>
      </c>
      <c r="AI406" s="36" t="e">
        <f t="shared" ref="AI406:AI412" si="138">Y406*SIN($J$15/2*PI()/180)</f>
        <v>#DIV/0!</v>
      </c>
      <c r="AJ406" s="3" t="e">
        <f t="shared" ref="AJ406:AJ412" si="139">AI406/SIN((0.5*$J$15*PI()/180))</f>
        <v>#DIV/0!</v>
      </c>
      <c r="AK406" s="36" t="e">
        <f t="shared" ref="AK406:AK412" si="140">X406*EXP(-($M$22/10000)*AJ406)*100</f>
        <v>#DIV/0!</v>
      </c>
      <c r="AL406" s="36" t="e">
        <f t="shared" ref="AL406:AL412" si="141">AF406*(-1)</f>
        <v>#DIV/0!</v>
      </c>
      <c r="AM406" s="36" t="e">
        <f t="shared" si="116"/>
        <v>#DIV/0!</v>
      </c>
      <c r="AU406"/>
    </row>
    <row r="407" spans="2:47" ht="15.95" customHeight="1">
      <c r="B407" s="41">
        <v>0.49</v>
      </c>
      <c r="C407" s="41" t="e">
        <f t="shared" si="123"/>
        <v>#DIV/0!</v>
      </c>
      <c r="D407" s="35" t="e">
        <f t="shared" si="124"/>
        <v>#DIV/0!</v>
      </c>
      <c r="E407" s="41" t="e">
        <f t="shared" si="125"/>
        <v>#DIV/0!</v>
      </c>
      <c r="F407" s="36" t="e">
        <f t="shared" si="126"/>
        <v>#DIV/0!</v>
      </c>
      <c r="G407" s="36" t="e">
        <f t="shared" si="127"/>
        <v>#DIV/0!</v>
      </c>
      <c r="H407" s="36" t="e">
        <f t="shared" si="128"/>
        <v>#DIV/0!</v>
      </c>
      <c r="W407" s="3"/>
      <c r="X407">
        <v>2.9999999999999E-2</v>
      </c>
      <c r="Y407" s="3" t="e">
        <f t="shared" si="117"/>
        <v>#DIV/0!</v>
      </c>
      <c r="Z407" s="36" t="e">
        <f t="shared" si="132"/>
        <v>#DIV/0!</v>
      </c>
      <c r="AA407" s="3" t="e">
        <f t="shared" si="129"/>
        <v>#DIV/0!</v>
      </c>
      <c r="AB407" s="36" t="e">
        <f t="shared" si="133"/>
        <v>#DIV/0!</v>
      </c>
      <c r="AC407" s="3" t="e">
        <f t="shared" si="134"/>
        <v>#DIV/0!</v>
      </c>
      <c r="AD407" s="36" t="e">
        <f t="shared" si="135"/>
        <v>#DIV/0!</v>
      </c>
      <c r="AE407" s="36" t="e">
        <f t="shared" si="136"/>
        <v>#DIV/0!</v>
      </c>
      <c r="AF407" s="36" t="e">
        <f t="shared" si="130"/>
        <v>#DIV/0!</v>
      </c>
      <c r="AG407" s="3" t="e">
        <f t="shared" si="131"/>
        <v>#DIV/0!</v>
      </c>
      <c r="AH407" s="36" t="e">
        <f t="shared" si="137"/>
        <v>#DIV/0!</v>
      </c>
      <c r="AI407" s="36" t="e">
        <f t="shared" si="138"/>
        <v>#DIV/0!</v>
      </c>
      <c r="AJ407" s="3" t="e">
        <f t="shared" si="139"/>
        <v>#DIV/0!</v>
      </c>
      <c r="AK407" s="36" t="e">
        <f t="shared" si="140"/>
        <v>#DIV/0!</v>
      </c>
      <c r="AL407" s="36" t="e">
        <f t="shared" si="141"/>
        <v>#DIV/0!</v>
      </c>
      <c r="AM407" s="36" t="e">
        <f t="shared" ref="AM407:AM412" si="142">AI407*(-1)</f>
        <v>#DIV/0!</v>
      </c>
      <c r="AU407"/>
    </row>
    <row r="408" spans="2:47" ht="15.95" customHeight="1">
      <c r="B408" s="41">
        <v>0.495</v>
      </c>
      <c r="C408" s="41" t="e">
        <f t="shared" si="123"/>
        <v>#DIV/0!</v>
      </c>
      <c r="D408" s="35" t="e">
        <f t="shared" si="124"/>
        <v>#DIV/0!</v>
      </c>
      <c r="E408" s="41" t="e">
        <f t="shared" si="125"/>
        <v>#DIV/0!</v>
      </c>
      <c r="F408" s="36" t="e">
        <f t="shared" si="126"/>
        <v>#DIV/0!</v>
      </c>
      <c r="G408" s="36" t="e">
        <f t="shared" si="127"/>
        <v>#DIV/0!</v>
      </c>
      <c r="H408" s="36" t="e">
        <f t="shared" si="128"/>
        <v>#DIV/0!</v>
      </c>
      <c r="W408" s="3"/>
      <c r="X408">
        <v>2.4999999999998999E-2</v>
      </c>
      <c r="Y408" s="3" t="e">
        <f t="shared" si="117"/>
        <v>#DIV/0!</v>
      </c>
      <c r="Z408" s="36" t="e">
        <f t="shared" si="132"/>
        <v>#DIV/0!</v>
      </c>
      <c r="AA408" s="3" t="e">
        <f t="shared" si="129"/>
        <v>#DIV/0!</v>
      </c>
      <c r="AB408" s="36" t="e">
        <f t="shared" si="133"/>
        <v>#DIV/0!</v>
      </c>
      <c r="AC408" s="3" t="e">
        <f t="shared" si="134"/>
        <v>#DIV/0!</v>
      </c>
      <c r="AD408" s="36" t="e">
        <f t="shared" si="135"/>
        <v>#DIV/0!</v>
      </c>
      <c r="AE408" s="36" t="e">
        <f t="shared" si="136"/>
        <v>#DIV/0!</v>
      </c>
      <c r="AF408" s="36" t="e">
        <f t="shared" si="130"/>
        <v>#DIV/0!</v>
      </c>
      <c r="AG408" s="3" t="e">
        <f t="shared" si="131"/>
        <v>#DIV/0!</v>
      </c>
      <c r="AH408" s="36" t="e">
        <f t="shared" si="137"/>
        <v>#DIV/0!</v>
      </c>
      <c r="AI408" s="36" t="e">
        <f t="shared" si="138"/>
        <v>#DIV/0!</v>
      </c>
      <c r="AJ408" s="3" t="e">
        <f t="shared" si="139"/>
        <v>#DIV/0!</v>
      </c>
      <c r="AK408" s="36" t="e">
        <f t="shared" si="140"/>
        <v>#DIV/0!</v>
      </c>
      <c r="AL408" s="36" t="e">
        <f t="shared" si="141"/>
        <v>#DIV/0!</v>
      </c>
      <c r="AM408" s="36" t="e">
        <f t="shared" si="142"/>
        <v>#DIV/0!</v>
      </c>
      <c r="AU408"/>
    </row>
    <row r="409" spans="2:47" ht="15.95" customHeight="1">
      <c r="B409" s="41">
        <v>0.5</v>
      </c>
      <c r="C409" s="41" t="e">
        <f t="shared" si="123"/>
        <v>#DIV/0!</v>
      </c>
      <c r="D409" s="35" t="e">
        <f t="shared" si="124"/>
        <v>#DIV/0!</v>
      </c>
      <c r="E409" s="41" t="e">
        <f t="shared" si="125"/>
        <v>#DIV/0!</v>
      </c>
      <c r="F409" s="36" t="e">
        <f t="shared" si="126"/>
        <v>#DIV/0!</v>
      </c>
      <c r="G409" s="36" t="e">
        <f t="shared" si="127"/>
        <v>#DIV/0!</v>
      </c>
      <c r="H409" s="36" t="e">
        <f t="shared" si="128"/>
        <v>#DIV/0!</v>
      </c>
      <c r="W409" s="3"/>
      <c r="X409">
        <v>1.9999999999999001E-2</v>
      </c>
      <c r="Y409" s="3" t="e">
        <f t="shared" si="117"/>
        <v>#DIV/0!</v>
      </c>
      <c r="Z409" s="36" t="e">
        <f t="shared" si="132"/>
        <v>#DIV/0!</v>
      </c>
      <c r="AA409" s="3" t="e">
        <f t="shared" si="129"/>
        <v>#DIV/0!</v>
      </c>
      <c r="AB409" s="36" t="e">
        <f t="shared" si="133"/>
        <v>#DIV/0!</v>
      </c>
      <c r="AC409" s="3" t="e">
        <f t="shared" si="134"/>
        <v>#DIV/0!</v>
      </c>
      <c r="AD409" s="36" t="e">
        <f t="shared" si="135"/>
        <v>#DIV/0!</v>
      </c>
      <c r="AE409" s="36" t="e">
        <f t="shared" si="136"/>
        <v>#DIV/0!</v>
      </c>
      <c r="AF409" s="36" t="e">
        <f t="shared" si="130"/>
        <v>#DIV/0!</v>
      </c>
      <c r="AG409" s="3" t="e">
        <f t="shared" si="131"/>
        <v>#DIV/0!</v>
      </c>
      <c r="AH409" s="36" t="e">
        <f t="shared" si="137"/>
        <v>#DIV/0!</v>
      </c>
      <c r="AI409" s="36" t="e">
        <f t="shared" si="138"/>
        <v>#DIV/0!</v>
      </c>
      <c r="AJ409" s="3" t="e">
        <f t="shared" si="139"/>
        <v>#DIV/0!</v>
      </c>
      <c r="AK409" s="36" t="e">
        <f t="shared" si="140"/>
        <v>#DIV/0!</v>
      </c>
      <c r="AL409" s="36" t="e">
        <f t="shared" si="141"/>
        <v>#DIV/0!</v>
      </c>
      <c r="AM409" s="36" t="e">
        <f t="shared" si="142"/>
        <v>#DIV/0!</v>
      </c>
      <c r="AU409"/>
    </row>
    <row r="410" spans="2:47" ht="15.95" customHeight="1">
      <c r="B410" s="41">
        <v>0.505</v>
      </c>
      <c r="C410" s="41" t="e">
        <f t="shared" si="123"/>
        <v>#DIV/0!</v>
      </c>
      <c r="D410" s="35" t="e">
        <f t="shared" si="124"/>
        <v>#DIV/0!</v>
      </c>
      <c r="E410" s="41" t="e">
        <f t="shared" si="125"/>
        <v>#DIV/0!</v>
      </c>
      <c r="F410" s="36" t="e">
        <f t="shared" si="126"/>
        <v>#DIV/0!</v>
      </c>
      <c r="G410" s="36" t="e">
        <f t="shared" si="127"/>
        <v>#DIV/0!</v>
      </c>
      <c r="H410" s="36" t="e">
        <f t="shared" si="128"/>
        <v>#DIV/0!</v>
      </c>
      <c r="W410" s="3"/>
      <c r="X410">
        <v>1.4999999999999E-2</v>
      </c>
      <c r="Y410" s="3" t="e">
        <f t="shared" si="117"/>
        <v>#DIV/0!</v>
      </c>
      <c r="Z410" s="36" t="e">
        <f t="shared" si="132"/>
        <v>#DIV/0!</v>
      </c>
      <c r="AA410" s="3" t="e">
        <f t="shared" si="129"/>
        <v>#DIV/0!</v>
      </c>
      <c r="AB410" s="36" t="e">
        <f t="shared" si="133"/>
        <v>#DIV/0!</v>
      </c>
      <c r="AC410" s="3" t="e">
        <f t="shared" si="134"/>
        <v>#DIV/0!</v>
      </c>
      <c r="AD410" s="36" t="e">
        <f t="shared" si="135"/>
        <v>#DIV/0!</v>
      </c>
      <c r="AE410" s="36" t="e">
        <f t="shared" si="136"/>
        <v>#DIV/0!</v>
      </c>
      <c r="AF410" s="36" t="e">
        <f t="shared" si="130"/>
        <v>#DIV/0!</v>
      </c>
      <c r="AG410" s="3" t="e">
        <f t="shared" si="131"/>
        <v>#DIV/0!</v>
      </c>
      <c r="AH410" s="36" t="e">
        <f t="shared" si="137"/>
        <v>#DIV/0!</v>
      </c>
      <c r="AI410" s="36" t="e">
        <f t="shared" si="138"/>
        <v>#DIV/0!</v>
      </c>
      <c r="AJ410" s="3" t="e">
        <f t="shared" si="139"/>
        <v>#DIV/0!</v>
      </c>
      <c r="AK410" s="36" t="e">
        <f t="shared" si="140"/>
        <v>#DIV/0!</v>
      </c>
      <c r="AL410" s="36" t="e">
        <f t="shared" si="141"/>
        <v>#DIV/0!</v>
      </c>
      <c r="AM410" s="36" t="e">
        <f t="shared" si="142"/>
        <v>#DIV/0!</v>
      </c>
      <c r="AU410"/>
    </row>
    <row r="411" spans="2:47" ht="15.95" customHeight="1">
      <c r="B411" s="41">
        <v>0.51</v>
      </c>
      <c r="C411" s="41" t="e">
        <f t="shared" si="123"/>
        <v>#DIV/0!</v>
      </c>
      <c r="D411" s="35" t="e">
        <f t="shared" si="124"/>
        <v>#DIV/0!</v>
      </c>
      <c r="E411" s="41" t="e">
        <f t="shared" si="125"/>
        <v>#DIV/0!</v>
      </c>
      <c r="F411" s="36" t="e">
        <f t="shared" si="126"/>
        <v>#DIV/0!</v>
      </c>
      <c r="G411" s="36" t="e">
        <f t="shared" si="127"/>
        <v>#DIV/0!</v>
      </c>
      <c r="H411" s="36" t="e">
        <f t="shared" si="128"/>
        <v>#DIV/0!</v>
      </c>
      <c r="W411" s="3"/>
      <c r="X411">
        <v>9.9999999999990097E-3</v>
      </c>
      <c r="Y411" s="3" t="e">
        <f t="shared" si="117"/>
        <v>#DIV/0!</v>
      </c>
      <c r="Z411" s="36" t="e">
        <f t="shared" si="132"/>
        <v>#DIV/0!</v>
      </c>
      <c r="AA411" s="3" t="e">
        <f t="shared" si="129"/>
        <v>#DIV/0!</v>
      </c>
      <c r="AB411" s="36" t="e">
        <f t="shared" si="133"/>
        <v>#DIV/0!</v>
      </c>
      <c r="AC411" s="3" t="e">
        <f t="shared" si="134"/>
        <v>#DIV/0!</v>
      </c>
      <c r="AD411" s="36" t="e">
        <f t="shared" si="135"/>
        <v>#DIV/0!</v>
      </c>
      <c r="AE411" s="36" t="e">
        <f t="shared" si="136"/>
        <v>#DIV/0!</v>
      </c>
      <c r="AF411" s="36" t="e">
        <f t="shared" si="130"/>
        <v>#DIV/0!</v>
      </c>
      <c r="AG411" s="3" t="e">
        <f t="shared" si="131"/>
        <v>#DIV/0!</v>
      </c>
      <c r="AH411" s="36" t="e">
        <f t="shared" si="137"/>
        <v>#DIV/0!</v>
      </c>
      <c r="AI411" s="36" t="e">
        <f t="shared" si="138"/>
        <v>#DIV/0!</v>
      </c>
      <c r="AJ411" s="3" t="e">
        <f t="shared" si="139"/>
        <v>#DIV/0!</v>
      </c>
      <c r="AK411" s="36" t="e">
        <f t="shared" si="140"/>
        <v>#DIV/0!</v>
      </c>
      <c r="AL411" s="36" t="e">
        <f t="shared" si="141"/>
        <v>#DIV/0!</v>
      </c>
      <c r="AM411" s="36" t="e">
        <f t="shared" si="142"/>
        <v>#DIV/0!</v>
      </c>
      <c r="AU411"/>
    </row>
    <row r="412" spans="2:47" ht="15.95" customHeight="1">
      <c r="B412" s="41">
        <v>0.51500000000000001</v>
      </c>
      <c r="C412" s="41" t="e">
        <f t="shared" si="123"/>
        <v>#DIV/0!</v>
      </c>
      <c r="D412" s="35" t="e">
        <f t="shared" si="124"/>
        <v>#DIV/0!</v>
      </c>
      <c r="E412" s="41" t="e">
        <f t="shared" si="125"/>
        <v>#DIV/0!</v>
      </c>
      <c r="F412" s="36" t="e">
        <f t="shared" si="126"/>
        <v>#DIV/0!</v>
      </c>
      <c r="G412" s="36" t="e">
        <f t="shared" si="127"/>
        <v>#DIV/0!</v>
      </c>
      <c r="H412" s="36" t="e">
        <f t="shared" si="128"/>
        <v>#DIV/0!</v>
      </c>
      <c r="W412" s="3"/>
      <c r="X412">
        <v>4.9999999999990096E-3</v>
      </c>
      <c r="Y412" s="3" t="e">
        <f t="shared" si="117"/>
        <v>#DIV/0!</v>
      </c>
      <c r="Z412" s="36" t="e">
        <f t="shared" si="132"/>
        <v>#DIV/0!</v>
      </c>
      <c r="AA412" s="3" t="e">
        <f t="shared" si="129"/>
        <v>#DIV/0!</v>
      </c>
      <c r="AB412" s="36" t="e">
        <f t="shared" si="133"/>
        <v>#DIV/0!</v>
      </c>
      <c r="AC412" s="3" t="e">
        <f t="shared" si="134"/>
        <v>#DIV/0!</v>
      </c>
      <c r="AD412" s="36" t="e">
        <f t="shared" si="135"/>
        <v>#DIV/0!</v>
      </c>
      <c r="AE412" s="36" t="e">
        <f t="shared" si="136"/>
        <v>#DIV/0!</v>
      </c>
      <c r="AF412" s="36" t="e">
        <f t="shared" si="130"/>
        <v>#DIV/0!</v>
      </c>
      <c r="AG412" s="3" t="e">
        <f t="shared" si="131"/>
        <v>#DIV/0!</v>
      </c>
      <c r="AH412" s="36" t="e">
        <f t="shared" si="137"/>
        <v>#DIV/0!</v>
      </c>
      <c r="AI412" s="36" t="e">
        <f t="shared" si="138"/>
        <v>#DIV/0!</v>
      </c>
      <c r="AJ412" s="3" t="e">
        <f t="shared" si="139"/>
        <v>#DIV/0!</v>
      </c>
      <c r="AK412" s="36" t="e">
        <f t="shared" si="140"/>
        <v>#DIV/0!</v>
      </c>
      <c r="AL412" s="36" t="e">
        <f t="shared" si="141"/>
        <v>#DIV/0!</v>
      </c>
      <c r="AM412" s="36" t="e">
        <f t="shared" si="142"/>
        <v>#DIV/0!</v>
      </c>
      <c r="AU412"/>
    </row>
    <row r="413" spans="2:47" ht="15.95" customHeight="1">
      <c r="B413" s="41">
        <v>0.52</v>
      </c>
      <c r="C413" s="41" t="e">
        <f t="shared" si="123"/>
        <v>#DIV/0!</v>
      </c>
      <c r="D413" s="35" t="e">
        <f t="shared" si="124"/>
        <v>#DIV/0!</v>
      </c>
      <c r="E413" s="41" t="e">
        <f t="shared" si="125"/>
        <v>#DIV/0!</v>
      </c>
      <c r="F413" s="36" t="e">
        <f t="shared" si="126"/>
        <v>#DIV/0!</v>
      </c>
      <c r="G413" s="36" t="e">
        <f t="shared" si="127"/>
        <v>#DIV/0!</v>
      </c>
      <c r="H413" s="36" t="e">
        <f t="shared" si="128"/>
        <v>#DIV/0!</v>
      </c>
      <c r="Y413" s="3"/>
      <c r="Z413" s="36"/>
      <c r="AA413" s="3"/>
      <c r="AB413" s="3"/>
      <c r="AC413" s="36"/>
    </row>
    <row r="414" spans="2:47" ht="15.95" customHeight="1">
      <c r="B414" s="41">
        <v>0.52500000000000002</v>
      </c>
      <c r="C414" s="41" t="e">
        <f t="shared" si="123"/>
        <v>#DIV/0!</v>
      </c>
      <c r="D414" s="35" t="e">
        <f t="shared" si="124"/>
        <v>#DIV/0!</v>
      </c>
      <c r="E414" s="41" t="e">
        <f t="shared" si="125"/>
        <v>#DIV/0!</v>
      </c>
      <c r="F414" s="36" t="e">
        <f t="shared" si="126"/>
        <v>#DIV/0!</v>
      </c>
      <c r="G414" s="36" t="e">
        <f t="shared" si="127"/>
        <v>#DIV/0!</v>
      </c>
      <c r="H414" s="36" t="e">
        <f t="shared" si="128"/>
        <v>#DIV/0!</v>
      </c>
    </row>
    <row r="415" spans="2:47" ht="15.95" customHeight="1">
      <c r="B415" s="41">
        <v>0.53</v>
      </c>
      <c r="C415" s="41" t="e">
        <f t="shared" si="123"/>
        <v>#DIV/0!</v>
      </c>
      <c r="D415" s="35" t="e">
        <f t="shared" si="124"/>
        <v>#DIV/0!</v>
      </c>
      <c r="E415" s="41" t="e">
        <f t="shared" si="125"/>
        <v>#DIV/0!</v>
      </c>
      <c r="F415" s="36" t="e">
        <f t="shared" si="126"/>
        <v>#DIV/0!</v>
      </c>
      <c r="G415" s="36" t="e">
        <f t="shared" si="127"/>
        <v>#DIV/0!</v>
      </c>
      <c r="H415" s="36" t="e">
        <f t="shared" si="128"/>
        <v>#DIV/0!</v>
      </c>
    </row>
    <row r="416" spans="2:47" ht="15.95" customHeight="1">
      <c r="B416" s="41">
        <v>0.53500000000000003</v>
      </c>
      <c r="C416" s="41" t="e">
        <f t="shared" si="123"/>
        <v>#DIV/0!</v>
      </c>
      <c r="D416" s="35" t="e">
        <f t="shared" si="124"/>
        <v>#DIV/0!</v>
      </c>
      <c r="E416" s="41" t="e">
        <f t="shared" si="125"/>
        <v>#DIV/0!</v>
      </c>
      <c r="F416" s="36" t="e">
        <f t="shared" si="126"/>
        <v>#DIV/0!</v>
      </c>
      <c r="G416" s="36" t="e">
        <f t="shared" si="127"/>
        <v>#DIV/0!</v>
      </c>
      <c r="H416" s="36" t="e">
        <f t="shared" si="128"/>
        <v>#DIV/0!</v>
      </c>
    </row>
    <row r="417" spans="2:8" ht="15.95" customHeight="1">
      <c r="B417" s="41">
        <v>0.54</v>
      </c>
      <c r="C417" s="41" t="e">
        <f t="shared" si="123"/>
        <v>#DIV/0!</v>
      </c>
      <c r="D417" s="35" t="e">
        <f t="shared" si="124"/>
        <v>#DIV/0!</v>
      </c>
      <c r="E417" s="41" t="e">
        <f t="shared" si="125"/>
        <v>#DIV/0!</v>
      </c>
      <c r="F417" s="36" t="e">
        <f t="shared" si="126"/>
        <v>#DIV/0!</v>
      </c>
      <c r="G417" s="36" t="e">
        <f t="shared" si="127"/>
        <v>#DIV/0!</v>
      </c>
      <c r="H417" s="36" t="e">
        <f t="shared" si="128"/>
        <v>#DIV/0!</v>
      </c>
    </row>
    <row r="418" spans="2:8" ht="15.95" customHeight="1">
      <c r="B418" s="41">
        <v>0.54500000000000004</v>
      </c>
      <c r="C418" s="41" t="e">
        <f t="shared" si="123"/>
        <v>#DIV/0!</v>
      </c>
      <c r="D418" s="35" t="e">
        <f t="shared" si="124"/>
        <v>#DIV/0!</v>
      </c>
      <c r="E418" s="41" t="e">
        <f t="shared" si="125"/>
        <v>#DIV/0!</v>
      </c>
      <c r="F418" s="36" t="e">
        <f t="shared" si="126"/>
        <v>#DIV/0!</v>
      </c>
      <c r="G418" s="36" t="e">
        <f t="shared" si="127"/>
        <v>#DIV/0!</v>
      </c>
      <c r="H418" s="36" t="e">
        <f t="shared" si="128"/>
        <v>#DIV/0!</v>
      </c>
    </row>
    <row r="419" spans="2:8" ht="15.95" customHeight="1">
      <c r="B419" s="41">
        <v>0.55000000000000004</v>
      </c>
      <c r="C419" s="41" t="e">
        <f t="shared" si="123"/>
        <v>#DIV/0!</v>
      </c>
      <c r="D419" s="35" t="e">
        <f t="shared" si="124"/>
        <v>#DIV/0!</v>
      </c>
      <c r="E419" s="41" t="e">
        <f t="shared" si="125"/>
        <v>#DIV/0!</v>
      </c>
      <c r="F419" s="36" t="e">
        <f t="shared" si="126"/>
        <v>#DIV/0!</v>
      </c>
      <c r="G419" s="36" t="e">
        <f t="shared" si="127"/>
        <v>#DIV/0!</v>
      </c>
      <c r="H419" s="36" t="e">
        <f t="shared" si="128"/>
        <v>#DIV/0!</v>
      </c>
    </row>
    <row r="420" spans="2:8" ht="15.95" customHeight="1">
      <c r="B420" s="41">
        <v>0.55500000000000005</v>
      </c>
      <c r="C420" s="41" t="e">
        <f t="shared" si="123"/>
        <v>#DIV/0!</v>
      </c>
      <c r="D420" s="35" t="e">
        <f t="shared" si="124"/>
        <v>#DIV/0!</v>
      </c>
      <c r="E420" s="41" t="e">
        <f t="shared" si="125"/>
        <v>#DIV/0!</v>
      </c>
      <c r="F420" s="36" t="e">
        <f t="shared" si="126"/>
        <v>#DIV/0!</v>
      </c>
      <c r="G420" s="36" t="e">
        <f t="shared" si="127"/>
        <v>#DIV/0!</v>
      </c>
      <c r="H420" s="36" t="e">
        <f t="shared" si="128"/>
        <v>#DIV/0!</v>
      </c>
    </row>
    <row r="421" spans="2:8" ht="15.95" customHeight="1">
      <c r="B421" s="41">
        <v>0.56000000000000005</v>
      </c>
      <c r="C421" s="41" t="e">
        <f t="shared" si="123"/>
        <v>#DIV/0!</v>
      </c>
      <c r="D421" s="35" t="e">
        <f t="shared" si="124"/>
        <v>#DIV/0!</v>
      </c>
      <c r="E421" s="41" t="e">
        <f t="shared" si="125"/>
        <v>#DIV/0!</v>
      </c>
      <c r="F421" s="36" t="e">
        <f t="shared" si="126"/>
        <v>#DIV/0!</v>
      </c>
      <c r="G421" s="36" t="e">
        <f t="shared" si="127"/>
        <v>#DIV/0!</v>
      </c>
      <c r="H421" s="36" t="e">
        <f t="shared" si="128"/>
        <v>#DIV/0!</v>
      </c>
    </row>
    <row r="422" spans="2:8" ht="15.95" customHeight="1">
      <c r="B422" s="41">
        <v>0.56499999999999995</v>
      </c>
      <c r="C422" s="41" t="e">
        <f t="shared" si="123"/>
        <v>#DIV/0!</v>
      </c>
      <c r="D422" s="35" t="e">
        <f t="shared" si="124"/>
        <v>#DIV/0!</v>
      </c>
      <c r="E422" s="41" t="e">
        <f t="shared" si="125"/>
        <v>#DIV/0!</v>
      </c>
      <c r="F422" s="36" t="e">
        <f t="shared" si="126"/>
        <v>#DIV/0!</v>
      </c>
      <c r="G422" s="36" t="e">
        <f t="shared" si="127"/>
        <v>#DIV/0!</v>
      </c>
      <c r="H422" s="36" t="e">
        <f t="shared" si="128"/>
        <v>#DIV/0!</v>
      </c>
    </row>
    <row r="423" spans="2:8" ht="15.95" customHeight="1">
      <c r="B423" s="41">
        <v>0.56999999999999995</v>
      </c>
      <c r="C423" s="41" t="e">
        <f t="shared" si="123"/>
        <v>#DIV/0!</v>
      </c>
      <c r="D423" s="35" t="e">
        <f t="shared" si="124"/>
        <v>#DIV/0!</v>
      </c>
      <c r="E423" s="41" t="e">
        <f t="shared" si="125"/>
        <v>#DIV/0!</v>
      </c>
      <c r="F423" s="36" t="e">
        <f t="shared" si="126"/>
        <v>#DIV/0!</v>
      </c>
      <c r="G423" s="36" t="e">
        <f t="shared" si="127"/>
        <v>#DIV/0!</v>
      </c>
      <c r="H423" s="36" t="e">
        <f t="shared" si="128"/>
        <v>#DIV/0!</v>
      </c>
    </row>
    <row r="424" spans="2:8" ht="15.95" customHeight="1">
      <c r="B424" s="41">
        <v>0.57499999999999996</v>
      </c>
      <c r="C424" s="41" t="e">
        <f t="shared" si="123"/>
        <v>#DIV/0!</v>
      </c>
      <c r="D424" s="35" t="e">
        <f t="shared" si="124"/>
        <v>#DIV/0!</v>
      </c>
      <c r="E424" s="41" t="e">
        <f t="shared" si="125"/>
        <v>#DIV/0!</v>
      </c>
      <c r="F424" s="36" t="e">
        <f t="shared" si="126"/>
        <v>#DIV/0!</v>
      </c>
      <c r="G424" s="36" t="e">
        <f t="shared" si="127"/>
        <v>#DIV/0!</v>
      </c>
      <c r="H424" s="36" t="e">
        <f t="shared" si="128"/>
        <v>#DIV/0!</v>
      </c>
    </row>
    <row r="425" spans="2:8" ht="15.95" customHeight="1">
      <c r="B425" s="41">
        <v>0.57999999999999996</v>
      </c>
      <c r="C425" s="41" t="e">
        <f t="shared" si="123"/>
        <v>#DIV/0!</v>
      </c>
      <c r="D425" s="35" t="e">
        <f t="shared" si="124"/>
        <v>#DIV/0!</v>
      </c>
      <c r="E425" s="41" t="e">
        <f t="shared" si="125"/>
        <v>#DIV/0!</v>
      </c>
      <c r="F425" s="36" t="e">
        <f t="shared" si="126"/>
        <v>#DIV/0!</v>
      </c>
      <c r="G425" s="36" t="e">
        <f t="shared" si="127"/>
        <v>#DIV/0!</v>
      </c>
      <c r="H425" s="36" t="e">
        <f t="shared" si="128"/>
        <v>#DIV/0!</v>
      </c>
    </row>
    <row r="426" spans="2:8" ht="15.95" customHeight="1">
      <c r="B426" s="41">
        <v>0.58499999999999996</v>
      </c>
      <c r="C426" s="41" t="e">
        <f t="shared" si="123"/>
        <v>#DIV/0!</v>
      </c>
      <c r="D426" s="35" t="e">
        <f t="shared" si="124"/>
        <v>#DIV/0!</v>
      </c>
      <c r="E426" s="41" t="e">
        <f t="shared" si="125"/>
        <v>#DIV/0!</v>
      </c>
      <c r="F426" s="36" t="e">
        <f t="shared" si="126"/>
        <v>#DIV/0!</v>
      </c>
      <c r="G426" s="36" t="e">
        <f t="shared" si="127"/>
        <v>#DIV/0!</v>
      </c>
      <c r="H426" s="36" t="e">
        <f t="shared" si="128"/>
        <v>#DIV/0!</v>
      </c>
    </row>
    <row r="427" spans="2:8" ht="15.95" customHeight="1">
      <c r="B427" s="41">
        <v>0.59</v>
      </c>
      <c r="C427" s="41" t="e">
        <f t="shared" si="123"/>
        <v>#DIV/0!</v>
      </c>
      <c r="D427" s="35" t="e">
        <f t="shared" si="124"/>
        <v>#DIV/0!</v>
      </c>
      <c r="E427" s="41" t="e">
        <f t="shared" si="125"/>
        <v>#DIV/0!</v>
      </c>
      <c r="F427" s="36" t="e">
        <f t="shared" si="126"/>
        <v>#DIV/0!</v>
      </c>
      <c r="G427" s="36" t="e">
        <f t="shared" si="127"/>
        <v>#DIV/0!</v>
      </c>
      <c r="H427" s="36" t="e">
        <f t="shared" si="128"/>
        <v>#DIV/0!</v>
      </c>
    </row>
    <row r="428" spans="2:8" ht="15.95" customHeight="1">
      <c r="B428" s="41">
        <v>0.59499999999999997</v>
      </c>
      <c r="C428" s="41" t="e">
        <f t="shared" si="123"/>
        <v>#DIV/0!</v>
      </c>
      <c r="D428" s="35" t="e">
        <f t="shared" si="124"/>
        <v>#DIV/0!</v>
      </c>
      <c r="E428" s="41" t="e">
        <f t="shared" si="125"/>
        <v>#DIV/0!</v>
      </c>
      <c r="F428" s="36" t="e">
        <f t="shared" si="126"/>
        <v>#DIV/0!</v>
      </c>
      <c r="G428" s="36" t="e">
        <f t="shared" si="127"/>
        <v>#DIV/0!</v>
      </c>
      <c r="H428" s="36" t="e">
        <f t="shared" si="128"/>
        <v>#DIV/0!</v>
      </c>
    </row>
    <row r="429" spans="2:8" ht="15.95" customHeight="1">
      <c r="B429" s="41">
        <v>0.6</v>
      </c>
      <c r="C429" s="41" t="e">
        <f t="shared" si="123"/>
        <v>#DIV/0!</v>
      </c>
      <c r="D429" s="35" t="e">
        <f t="shared" si="124"/>
        <v>#DIV/0!</v>
      </c>
      <c r="E429" s="41" t="e">
        <f t="shared" si="125"/>
        <v>#DIV/0!</v>
      </c>
      <c r="F429" s="36" t="e">
        <f t="shared" si="126"/>
        <v>#DIV/0!</v>
      </c>
      <c r="G429" s="36" t="e">
        <f t="shared" si="127"/>
        <v>#DIV/0!</v>
      </c>
      <c r="H429" s="36" t="e">
        <f t="shared" si="128"/>
        <v>#DIV/0!</v>
      </c>
    </row>
    <row r="430" spans="2:8" ht="15.95" customHeight="1">
      <c r="B430" s="41">
        <v>0.60499999999999998</v>
      </c>
      <c r="C430" s="41" t="e">
        <f t="shared" si="123"/>
        <v>#DIV/0!</v>
      </c>
      <c r="D430" s="35" t="e">
        <f t="shared" si="124"/>
        <v>#DIV/0!</v>
      </c>
      <c r="E430" s="41" t="e">
        <f t="shared" si="125"/>
        <v>#DIV/0!</v>
      </c>
      <c r="F430" s="36" t="e">
        <f t="shared" si="126"/>
        <v>#DIV/0!</v>
      </c>
      <c r="G430" s="36" t="e">
        <f t="shared" si="127"/>
        <v>#DIV/0!</v>
      </c>
      <c r="H430" s="36" t="e">
        <f t="shared" si="128"/>
        <v>#DIV/0!</v>
      </c>
    </row>
    <row r="431" spans="2:8" ht="15.95" customHeight="1">
      <c r="B431" s="41">
        <v>0.61</v>
      </c>
      <c r="C431" s="41" t="e">
        <f t="shared" si="123"/>
        <v>#DIV/0!</v>
      </c>
      <c r="D431" s="35" t="e">
        <f t="shared" si="124"/>
        <v>#DIV/0!</v>
      </c>
      <c r="E431" s="41" t="e">
        <f t="shared" si="125"/>
        <v>#DIV/0!</v>
      </c>
      <c r="F431" s="36" t="e">
        <f t="shared" si="126"/>
        <v>#DIV/0!</v>
      </c>
      <c r="G431" s="36" t="e">
        <f t="shared" si="127"/>
        <v>#DIV/0!</v>
      </c>
      <c r="H431" s="36" t="e">
        <f t="shared" si="128"/>
        <v>#DIV/0!</v>
      </c>
    </row>
    <row r="432" spans="2:8" ht="15.95" customHeight="1">
      <c r="B432" s="41">
        <v>0.61499999999999999</v>
      </c>
      <c r="C432" s="41" t="e">
        <f t="shared" si="123"/>
        <v>#DIV/0!</v>
      </c>
      <c r="D432" s="35" t="e">
        <f t="shared" si="124"/>
        <v>#DIV/0!</v>
      </c>
      <c r="E432" s="41" t="e">
        <f t="shared" si="125"/>
        <v>#DIV/0!</v>
      </c>
      <c r="F432" s="36" t="e">
        <f t="shared" si="126"/>
        <v>#DIV/0!</v>
      </c>
      <c r="G432" s="36" t="e">
        <f t="shared" si="127"/>
        <v>#DIV/0!</v>
      </c>
      <c r="H432" s="36" t="e">
        <f t="shared" si="128"/>
        <v>#DIV/0!</v>
      </c>
    </row>
    <row r="433" spans="2:8" ht="15.95" customHeight="1">
      <c r="B433" s="41">
        <v>0.62</v>
      </c>
      <c r="C433" s="41" t="e">
        <f t="shared" si="123"/>
        <v>#DIV/0!</v>
      </c>
      <c r="D433" s="35" t="e">
        <f t="shared" si="124"/>
        <v>#DIV/0!</v>
      </c>
      <c r="E433" s="41" t="e">
        <f t="shared" si="125"/>
        <v>#DIV/0!</v>
      </c>
      <c r="F433" s="36" t="e">
        <f t="shared" si="126"/>
        <v>#DIV/0!</v>
      </c>
      <c r="G433" s="36" t="e">
        <f t="shared" si="127"/>
        <v>#DIV/0!</v>
      </c>
      <c r="H433" s="36" t="e">
        <f t="shared" si="128"/>
        <v>#DIV/0!</v>
      </c>
    </row>
    <row r="434" spans="2:8" ht="15.95" customHeight="1">
      <c r="B434" s="41">
        <v>0.625</v>
      </c>
      <c r="C434" s="41" t="e">
        <f t="shared" si="123"/>
        <v>#DIV/0!</v>
      </c>
      <c r="D434" s="35" t="e">
        <f t="shared" si="124"/>
        <v>#DIV/0!</v>
      </c>
      <c r="E434" s="41" t="e">
        <f t="shared" si="125"/>
        <v>#DIV/0!</v>
      </c>
      <c r="F434" s="36" t="e">
        <f t="shared" si="126"/>
        <v>#DIV/0!</v>
      </c>
      <c r="G434" s="36" t="e">
        <f t="shared" si="127"/>
        <v>#DIV/0!</v>
      </c>
      <c r="H434" s="36" t="e">
        <f t="shared" si="128"/>
        <v>#DIV/0!</v>
      </c>
    </row>
    <row r="435" spans="2:8" ht="15.95" customHeight="1">
      <c r="B435" s="41">
        <v>0.63</v>
      </c>
      <c r="C435" s="41" t="e">
        <f t="shared" si="123"/>
        <v>#DIV/0!</v>
      </c>
      <c r="D435" s="35" t="e">
        <f t="shared" si="124"/>
        <v>#DIV/0!</v>
      </c>
      <c r="E435" s="41" t="e">
        <f t="shared" si="125"/>
        <v>#DIV/0!</v>
      </c>
      <c r="F435" s="36" t="e">
        <f t="shared" si="126"/>
        <v>#DIV/0!</v>
      </c>
      <c r="G435" s="36" t="e">
        <f t="shared" si="127"/>
        <v>#DIV/0!</v>
      </c>
      <c r="H435" s="36" t="e">
        <f t="shared" si="128"/>
        <v>#DIV/0!</v>
      </c>
    </row>
    <row r="436" spans="2:8" ht="15.95" customHeight="1">
      <c r="B436" s="41">
        <v>0.63500000000000001</v>
      </c>
      <c r="C436" s="41" t="e">
        <f t="shared" si="123"/>
        <v>#DIV/0!</v>
      </c>
      <c r="D436" s="35" t="e">
        <f t="shared" si="124"/>
        <v>#DIV/0!</v>
      </c>
      <c r="E436" s="41" t="e">
        <f t="shared" si="125"/>
        <v>#DIV/0!</v>
      </c>
      <c r="F436" s="36" t="e">
        <f t="shared" si="126"/>
        <v>#DIV/0!</v>
      </c>
      <c r="G436" s="36" t="e">
        <f t="shared" si="127"/>
        <v>#DIV/0!</v>
      </c>
      <c r="H436" s="36" t="e">
        <f t="shared" si="128"/>
        <v>#DIV/0!</v>
      </c>
    </row>
    <row r="437" spans="2:8" ht="15.95" customHeight="1">
      <c r="B437" s="41">
        <v>0.64</v>
      </c>
      <c r="C437" s="41" t="e">
        <f t="shared" si="123"/>
        <v>#DIV/0!</v>
      </c>
      <c r="D437" s="35" t="e">
        <f t="shared" si="124"/>
        <v>#DIV/0!</v>
      </c>
      <c r="E437" s="41" t="e">
        <f t="shared" si="125"/>
        <v>#DIV/0!</v>
      </c>
      <c r="F437" s="36" t="e">
        <f t="shared" si="126"/>
        <v>#DIV/0!</v>
      </c>
      <c r="G437" s="36" t="e">
        <f t="shared" si="127"/>
        <v>#DIV/0!</v>
      </c>
      <c r="H437" s="36" t="e">
        <f t="shared" si="128"/>
        <v>#DIV/0!</v>
      </c>
    </row>
    <row r="438" spans="2:8" ht="15.95" customHeight="1">
      <c r="B438" s="41">
        <v>0.64500000000000002</v>
      </c>
      <c r="C438" s="41" t="e">
        <f t="shared" si="123"/>
        <v>#DIV/0!</v>
      </c>
      <c r="D438" s="35" t="e">
        <f t="shared" si="124"/>
        <v>#DIV/0!</v>
      </c>
      <c r="E438" s="41" t="e">
        <f t="shared" si="125"/>
        <v>#DIV/0!</v>
      </c>
      <c r="F438" s="36" t="e">
        <f t="shared" si="126"/>
        <v>#DIV/0!</v>
      </c>
      <c r="G438" s="36" t="e">
        <f t="shared" si="127"/>
        <v>#DIV/0!</v>
      </c>
      <c r="H438" s="36" t="e">
        <f t="shared" si="128"/>
        <v>#DIV/0!</v>
      </c>
    </row>
    <row r="439" spans="2:8" ht="15.95" customHeight="1">
      <c r="B439" s="41">
        <v>0.65</v>
      </c>
      <c r="C439" s="41" t="e">
        <f t="shared" ref="C439:C502" si="143">((-LN(B439))/$M$22)*10000</f>
        <v>#DIV/0!</v>
      </c>
      <c r="D439" s="35" t="e">
        <f t="shared" ref="D439:D502" si="144">C439*SIN($F$15*PI()/180)</f>
        <v>#DIV/0!</v>
      </c>
      <c r="E439" s="41" t="e">
        <f t="shared" ref="E439:E502" si="145">D439/SIN((0.5*$H$15*PI()/180))</f>
        <v>#DIV/0!</v>
      </c>
      <c r="F439" s="36" t="e">
        <f t="shared" ref="F439:F502" si="146">B439*EXP(-($M$22/10000)*E439)*100</f>
        <v>#DIV/0!</v>
      </c>
      <c r="G439" s="36" t="e">
        <f t="shared" ref="G439:G502" si="147">D439/SIN((0.5*$J$15*PI()/180))</f>
        <v>#DIV/0!</v>
      </c>
      <c r="H439" s="36" t="e">
        <f t="shared" ref="H439:H502" si="148">B439*EXP(-($M$22/10000)*G439)*100</f>
        <v>#DIV/0!</v>
      </c>
    </row>
    <row r="440" spans="2:8" ht="15.95" customHeight="1">
      <c r="B440" s="41">
        <v>0.65500000000000003</v>
      </c>
      <c r="C440" s="41" t="e">
        <f t="shared" si="143"/>
        <v>#DIV/0!</v>
      </c>
      <c r="D440" s="35" t="e">
        <f t="shared" si="144"/>
        <v>#DIV/0!</v>
      </c>
      <c r="E440" s="41" t="e">
        <f t="shared" si="145"/>
        <v>#DIV/0!</v>
      </c>
      <c r="F440" s="36" t="e">
        <f t="shared" si="146"/>
        <v>#DIV/0!</v>
      </c>
      <c r="G440" s="36" t="e">
        <f t="shared" si="147"/>
        <v>#DIV/0!</v>
      </c>
      <c r="H440" s="36" t="e">
        <f t="shared" si="148"/>
        <v>#DIV/0!</v>
      </c>
    </row>
    <row r="441" spans="2:8" ht="15.95" customHeight="1">
      <c r="B441" s="41">
        <v>0.66</v>
      </c>
      <c r="C441" s="41" t="e">
        <f t="shared" si="143"/>
        <v>#DIV/0!</v>
      </c>
      <c r="D441" s="35" t="e">
        <f t="shared" si="144"/>
        <v>#DIV/0!</v>
      </c>
      <c r="E441" s="41" t="e">
        <f t="shared" si="145"/>
        <v>#DIV/0!</v>
      </c>
      <c r="F441" s="36" t="e">
        <f t="shared" si="146"/>
        <v>#DIV/0!</v>
      </c>
      <c r="G441" s="36" t="e">
        <f t="shared" si="147"/>
        <v>#DIV/0!</v>
      </c>
      <c r="H441" s="36" t="e">
        <f t="shared" si="148"/>
        <v>#DIV/0!</v>
      </c>
    </row>
    <row r="442" spans="2:8" ht="15.95" customHeight="1">
      <c r="B442" s="41">
        <v>0.66500000000000004</v>
      </c>
      <c r="C442" s="41" t="e">
        <f t="shared" si="143"/>
        <v>#DIV/0!</v>
      </c>
      <c r="D442" s="35" t="e">
        <f t="shared" si="144"/>
        <v>#DIV/0!</v>
      </c>
      <c r="E442" s="41" t="e">
        <f t="shared" si="145"/>
        <v>#DIV/0!</v>
      </c>
      <c r="F442" s="36" t="e">
        <f t="shared" si="146"/>
        <v>#DIV/0!</v>
      </c>
      <c r="G442" s="36" t="e">
        <f t="shared" si="147"/>
        <v>#DIV/0!</v>
      </c>
      <c r="H442" s="36" t="e">
        <f t="shared" si="148"/>
        <v>#DIV/0!</v>
      </c>
    </row>
    <row r="443" spans="2:8" ht="15.95" customHeight="1">
      <c r="B443" s="41">
        <v>0.67</v>
      </c>
      <c r="C443" s="41" t="e">
        <f t="shared" si="143"/>
        <v>#DIV/0!</v>
      </c>
      <c r="D443" s="35" t="e">
        <f t="shared" si="144"/>
        <v>#DIV/0!</v>
      </c>
      <c r="E443" s="41" t="e">
        <f t="shared" si="145"/>
        <v>#DIV/0!</v>
      </c>
      <c r="F443" s="36" t="e">
        <f t="shared" si="146"/>
        <v>#DIV/0!</v>
      </c>
      <c r="G443" s="36" t="e">
        <f t="shared" si="147"/>
        <v>#DIV/0!</v>
      </c>
      <c r="H443" s="36" t="e">
        <f t="shared" si="148"/>
        <v>#DIV/0!</v>
      </c>
    </row>
    <row r="444" spans="2:8" ht="15.95" customHeight="1">
      <c r="B444" s="41">
        <v>0.67500000000000004</v>
      </c>
      <c r="C444" s="41" t="e">
        <f t="shared" si="143"/>
        <v>#DIV/0!</v>
      </c>
      <c r="D444" s="35" t="e">
        <f t="shared" si="144"/>
        <v>#DIV/0!</v>
      </c>
      <c r="E444" s="41" t="e">
        <f t="shared" si="145"/>
        <v>#DIV/0!</v>
      </c>
      <c r="F444" s="36" t="e">
        <f t="shared" si="146"/>
        <v>#DIV/0!</v>
      </c>
      <c r="G444" s="36" t="e">
        <f t="shared" si="147"/>
        <v>#DIV/0!</v>
      </c>
      <c r="H444" s="36" t="e">
        <f t="shared" si="148"/>
        <v>#DIV/0!</v>
      </c>
    </row>
    <row r="445" spans="2:8" ht="15.95" customHeight="1">
      <c r="B445" s="41">
        <v>0.68</v>
      </c>
      <c r="C445" s="41" t="e">
        <f t="shared" si="143"/>
        <v>#DIV/0!</v>
      </c>
      <c r="D445" s="35" t="e">
        <f t="shared" si="144"/>
        <v>#DIV/0!</v>
      </c>
      <c r="E445" s="41" t="e">
        <f t="shared" si="145"/>
        <v>#DIV/0!</v>
      </c>
      <c r="F445" s="36" t="e">
        <f t="shared" si="146"/>
        <v>#DIV/0!</v>
      </c>
      <c r="G445" s="36" t="e">
        <f t="shared" si="147"/>
        <v>#DIV/0!</v>
      </c>
      <c r="H445" s="36" t="e">
        <f t="shared" si="148"/>
        <v>#DIV/0!</v>
      </c>
    </row>
    <row r="446" spans="2:8" ht="15.95" customHeight="1">
      <c r="B446" s="41">
        <v>0.68500000000000005</v>
      </c>
      <c r="C446" s="41" t="e">
        <f t="shared" si="143"/>
        <v>#DIV/0!</v>
      </c>
      <c r="D446" s="35" t="e">
        <f t="shared" si="144"/>
        <v>#DIV/0!</v>
      </c>
      <c r="E446" s="41" t="e">
        <f t="shared" si="145"/>
        <v>#DIV/0!</v>
      </c>
      <c r="F446" s="36" t="e">
        <f t="shared" si="146"/>
        <v>#DIV/0!</v>
      </c>
      <c r="G446" s="36" t="e">
        <f t="shared" si="147"/>
        <v>#DIV/0!</v>
      </c>
      <c r="H446" s="36" t="e">
        <f t="shared" si="148"/>
        <v>#DIV/0!</v>
      </c>
    </row>
    <row r="447" spans="2:8" ht="15.95" customHeight="1">
      <c r="B447" s="41">
        <v>0.69</v>
      </c>
      <c r="C447" s="41" t="e">
        <f t="shared" si="143"/>
        <v>#DIV/0!</v>
      </c>
      <c r="D447" s="35" t="e">
        <f t="shared" si="144"/>
        <v>#DIV/0!</v>
      </c>
      <c r="E447" s="41" t="e">
        <f t="shared" si="145"/>
        <v>#DIV/0!</v>
      </c>
      <c r="F447" s="36" t="e">
        <f t="shared" si="146"/>
        <v>#DIV/0!</v>
      </c>
      <c r="G447" s="36" t="e">
        <f t="shared" si="147"/>
        <v>#DIV/0!</v>
      </c>
      <c r="H447" s="36" t="e">
        <f t="shared" si="148"/>
        <v>#DIV/0!</v>
      </c>
    </row>
    <row r="448" spans="2:8" ht="15.95" customHeight="1">
      <c r="B448" s="41">
        <v>0.69499999999999995</v>
      </c>
      <c r="C448" s="41" t="e">
        <f t="shared" si="143"/>
        <v>#DIV/0!</v>
      </c>
      <c r="D448" s="35" t="e">
        <f t="shared" si="144"/>
        <v>#DIV/0!</v>
      </c>
      <c r="E448" s="41" t="e">
        <f t="shared" si="145"/>
        <v>#DIV/0!</v>
      </c>
      <c r="F448" s="36" t="e">
        <f t="shared" si="146"/>
        <v>#DIV/0!</v>
      </c>
      <c r="G448" s="36" t="e">
        <f t="shared" si="147"/>
        <v>#DIV/0!</v>
      </c>
      <c r="H448" s="36" t="e">
        <f t="shared" si="148"/>
        <v>#DIV/0!</v>
      </c>
    </row>
    <row r="449" spans="2:8" ht="15.95" customHeight="1">
      <c r="B449" s="41">
        <v>0.7</v>
      </c>
      <c r="C449" s="41" t="e">
        <f t="shared" si="143"/>
        <v>#DIV/0!</v>
      </c>
      <c r="D449" s="35" t="e">
        <f t="shared" si="144"/>
        <v>#DIV/0!</v>
      </c>
      <c r="E449" s="41" t="e">
        <f t="shared" si="145"/>
        <v>#DIV/0!</v>
      </c>
      <c r="F449" s="36" t="e">
        <f t="shared" si="146"/>
        <v>#DIV/0!</v>
      </c>
      <c r="G449" s="36" t="e">
        <f t="shared" si="147"/>
        <v>#DIV/0!</v>
      </c>
      <c r="H449" s="36" t="e">
        <f t="shared" si="148"/>
        <v>#DIV/0!</v>
      </c>
    </row>
    <row r="450" spans="2:8" ht="15.95" customHeight="1">
      <c r="B450" s="41">
        <v>0.70499999999999996</v>
      </c>
      <c r="C450" s="41" t="e">
        <f t="shared" si="143"/>
        <v>#DIV/0!</v>
      </c>
      <c r="D450" s="35" t="e">
        <f t="shared" si="144"/>
        <v>#DIV/0!</v>
      </c>
      <c r="E450" s="41" t="e">
        <f t="shared" si="145"/>
        <v>#DIV/0!</v>
      </c>
      <c r="F450" s="36" t="e">
        <f t="shared" si="146"/>
        <v>#DIV/0!</v>
      </c>
      <c r="G450" s="36" t="e">
        <f t="shared" si="147"/>
        <v>#DIV/0!</v>
      </c>
      <c r="H450" s="36" t="e">
        <f t="shared" si="148"/>
        <v>#DIV/0!</v>
      </c>
    </row>
    <row r="451" spans="2:8" ht="15.95" customHeight="1">
      <c r="B451" s="41">
        <v>0.71</v>
      </c>
      <c r="C451" s="41" t="e">
        <f t="shared" si="143"/>
        <v>#DIV/0!</v>
      </c>
      <c r="D451" s="35" t="e">
        <f t="shared" si="144"/>
        <v>#DIV/0!</v>
      </c>
      <c r="E451" s="41" t="e">
        <f t="shared" si="145"/>
        <v>#DIV/0!</v>
      </c>
      <c r="F451" s="36" t="e">
        <f t="shared" si="146"/>
        <v>#DIV/0!</v>
      </c>
      <c r="G451" s="36" t="e">
        <f t="shared" si="147"/>
        <v>#DIV/0!</v>
      </c>
      <c r="H451" s="36" t="e">
        <f t="shared" si="148"/>
        <v>#DIV/0!</v>
      </c>
    </row>
    <row r="452" spans="2:8" ht="15.95" customHeight="1">
      <c r="B452" s="41">
        <v>0.71499999999999997</v>
      </c>
      <c r="C452" s="41" t="e">
        <f t="shared" si="143"/>
        <v>#DIV/0!</v>
      </c>
      <c r="D452" s="35" t="e">
        <f t="shared" si="144"/>
        <v>#DIV/0!</v>
      </c>
      <c r="E452" s="41" t="e">
        <f t="shared" si="145"/>
        <v>#DIV/0!</v>
      </c>
      <c r="F452" s="36" t="e">
        <f t="shared" si="146"/>
        <v>#DIV/0!</v>
      </c>
      <c r="G452" s="36" t="e">
        <f t="shared" si="147"/>
        <v>#DIV/0!</v>
      </c>
      <c r="H452" s="36" t="e">
        <f t="shared" si="148"/>
        <v>#DIV/0!</v>
      </c>
    </row>
    <row r="453" spans="2:8" ht="15.95" customHeight="1">
      <c r="B453" s="41">
        <v>0.72</v>
      </c>
      <c r="C453" s="41" t="e">
        <f t="shared" si="143"/>
        <v>#DIV/0!</v>
      </c>
      <c r="D453" s="35" t="e">
        <f t="shared" si="144"/>
        <v>#DIV/0!</v>
      </c>
      <c r="E453" s="41" t="e">
        <f t="shared" si="145"/>
        <v>#DIV/0!</v>
      </c>
      <c r="F453" s="36" t="e">
        <f t="shared" si="146"/>
        <v>#DIV/0!</v>
      </c>
      <c r="G453" s="36" t="e">
        <f t="shared" si="147"/>
        <v>#DIV/0!</v>
      </c>
      <c r="H453" s="36" t="e">
        <f t="shared" si="148"/>
        <v>#DIV/0!</v>
      </c>
    </row>
    <row r="454" spans="2:8" ht="15.95" customHeight="1">
      <c r="B454" s="41">
        <v>0.72499999999999998</v>
      </c>
      <c r="C454" s="41" t="e">
        <f t="shared" si="143"/>
        <v>#DIV/0!</v>
      </c>
      <c r="D454" s="35" t="e">
        <f t="shared" si="144"/>
        <v>#DIV/0!</v>
      </c>
      <c r="E454" s="41" t="e">
        <f t="shared" si="145"/>
        <v>#DIV/0!</v>
      </c>
      <c r="F454" s="36" t="e">
        <f t="shared" si="146"/>
        <v>#DIV/0!</v>
      </c>
      <c r="G454" s="36" t="e">
        <f t="shared" si="147"/>
        <v>#DIV/0!</v>
      </c>
      <c r="H454" s="36" t="e">
        <f t="shared" si="148"/>
        <v>#DIV/0!</v>
      </c>
    </row>
    <row r="455" spans="2:8" ht="15.95" customHeight="1">
      <c r="B455" s="41">
        <v>0.73</v>
      </c>
      <c r="C455" s="41" t="e">
        <f t="shared" si="143"/>
        <v>#DIV/0!</v>
      </c>
      <c r="D455" s="35" t="e">
        <f t="shared" si="144"/>
        <v>#DIV/0!</v>
      </c>
      <c r="E455" s="41" t="e">
        <f t="shared" si="145"/>
        <v>#DIV/0!</v>
      </c>
      <c r="F455" s="36" t="e">
        <f t="shared" si="146"/>
        <v>#DIV/0!</v>
      </c>
      <c r="G455" s="36" t="e">
        <f t="shared" si="147"/>
        <v>#DIV/0!</v>
      </c>
      <c r="H455" s="36" t="e">
        <f t="shared" si="148"/>
        <v>#DIV/0!</v>
      </c>
    </row>
    <row r="456" spans="2:8" ht="15.95" customHeight="1">
      <c r="B456" s="41">
        <v>0.73499999999999999</v>
      </c>
      <c r="C456" s="41" t="e">
        <f t="shared" si="143"/>
        <v>#DIV/0!</v>
      </c>
      <c r="D456" s="35" t="e">
        <f t="shared" si="144"/>
        <v>#DIV/0!</v>
      </c>
      <c r="E456" s="41" t="e">
        <f t="shared" si="145"/>
        <v>#DIV/0!</v>
      </c>
      <c r="F456" s="36" t="e">
        <f t="shared" si="146"/>
        <v>#DIV/0!</v>
      </c>
      <c r="G456" s="36" t="e">
        <f t="shared" si="147"/>
        <v>#DIV/0!</v>
      </c>
      <c r="H456" s="36" t="e">
        <f t="shared" si="148"/>
        <v>#DIV/0!</v>
      </c>
    </row>
    <row r="457" spans="2:8" ht="15.95" customHeight="1">
      <c r="B457" s="41">
        <v>0.74</v>
      </c>
      <c r="C457" s="41" t="e">
        <f t="shared" si="143"/>
        <v>#DIV/0!</v>
      </c>
      <c r="D457" s="35" t="e">
        <f t="shared" si="144"/>
        <v>#DIV/0!</v>
      </c>
      <c r="E457" s="41" t="e">
        <f t="shared" si="145"/>
        <v>#DIV/0!</v>
      </c>
      <c r="F457" s="36" t="e">
        <f t="shared" si="146"/>
        <v>#DIV/0!</v>
      </c>
      <c r="G457" s="36" t="e">
        <f t="shared" si="147"/>
        <v>#DIV/0!</v>
      </c>
      <c r="H457" s="36" t="e">
        <f t="shared" si="148"/>
        <v>#DIV/0!</v>
      </c>
    </row>
    <row r="458" spans="2:8" ht="15.95" customHeight="1">
      <c r="B458" s="41">
        <v>0.745</v>
      </c>
      <c r="C458" s="41" t="e">
        <f t="shared" si="143"/>
        <v>#DIV/0!</v>
      </c>
      <c r="D458" s="35" t="e">
        <f t="shared" si="144"/>
        <v>#DIV/0!</v>
      </c>
      <c r="E458" s="41" t="e">
        <f t="shared" si="145"/>
        <v>#DIV/0!</v>
      </c>
      <c r="F458" s="36" t="e">
        <f t="shared" si="146"/>
        <v>#DIV/0!</v>
      </c>
      <c r="G458" s="36" t="e">
        <f t="shared" si="147"/>
        <v>#DIV/0!</v>
      </c>
      <c r="H458" s="36" t="e">
        <f t="shared" si="148"/>
        <v>#DIV/0!</v>
      </c>
    </row>
    <row r="459" spans="2:8" ht="15.95" customHeight="1">
      <c r="B459" s="41">
        <v>0.75</v>
      </c>
      <c r="C459" s="41" t="e">
        <f t="shared" si="143"/>
        <v>#DIV/0!</v>
      </c>
      <c r="D459" s="35" t="e">
        <f t="shared" si="144"/>
        <v>#DIV/0!</v>
      </c>
      <c r="E459" s="41" t="e">
        <f t="shared" si="145"/>
        <v>#DIV/0!</v>
      </c>
      <c r="F459" s="36" t="e">
        <f t="shared" si="146"/>
        <v>#DIV/0!</v>
      </c>
      <c r="G459" s="36" t="e">
        <f t="shared" si="147"/>
        <v>#DIV/0!</v>
      </c>
      <c r="H459" s="36" t="e">
        <f t="shared" si="148"/>
        <v>#DIV/0!</v>
      </c>
    </row>
    <row r="460" spans="2:8" ht="15.95" customHeight="1">
      <c r="B460" s="41">
        <v>0.755</v>
      </c>
      <c r="C460" s="41" t="e">
        <f t="shared" si="143"/>
        <v>#DIV/0!</v>
      </c>
      <c r="D460" s="35" t="e">
        <f t="shared" si="144"/>
        <v>#DIV/0!</v>
      </c>
      <c r="E460" s="41" t="e">
        <f t="shared" si="145"/>
        <v>#DIV/0!</v>
      </c>
      <c r="F460" s="36" t="e">
        <f t="shared" si="146"/>
        <v>#DIV/0!</v>
      </c>
      <c r="G460" s="36" t="e">
        <f t="shared" si="147"/>
        <v>#DIV/0!</v>
      </c>
      <c r="H460" s="36" t="e">
        <f t="shared" si="148"/>
        <v>#DIV/0!</v>
      </c>
    </row>
    <row r="461" spans="2:8" ht="15.95" customHeight="1">
      <c r="B461" s="41">
        <v>0.76</v>
      </c>
      <c r="C461" s="41" t="e">
        <f t="shared" si="143"/>
        <v>#DIV/0!</v>
      </c>
      <c r="D461" s="35" t="e">
        <f t="shared" si="144"/>
        <v>#DIV/0!</v>
      </c>
      <c r="E461" s="41" t="e">
        <f t="shared" si="145"/>
        <v>#DIV/0!</v>
      </c>
      <c r="F461" s="36" t="e">
        <f t="shared" si="146"/>
        <v>#DIV/0!</v>
      </c>
      <c r="G461" s="36" t="e">
        <f t="shared" si="147"/>
        <v>#DIV/0!</v>
      </c>
      <c r="H461" s="36" t="e">
        <f t="shared" si="148"/>
        <v>#DIV/0!</v>
      </c>
    </row>
    <row r="462" spans="2:8" ht="15.95" customHeight="1">
      <c r="B462" s="41">
        <v>0.76500000000000001</v>
      </c>
      <c r="C462" s="41" t="e">
        <f t="shared" si="143"/>
        <v>#DIV/0!</v>
      </c>
      <c r="D462" s="35" t="e">
        <f t="shared" si="144"/>
        <v>#DIV/0!</v>
      </c>
      <c r="E462" s="41" t="e">
        <f t="shared" si="145"/>
        <v>#DIV/0!</v>
      </c>
      <c r="F462" s="36" t="e">
        <f t="shared" si="146"/>
        <v>#DIV/0!</v>
      </c>
      <c r="G462" s="36" t="e">
        <f t="shared" si="147"/>
        <v>#DIV/0!</v>
      </c>
      <c r="H462" s="36" t="e">
        <f t="shared" si="148"/>
        <v>#DIV/0!</v>
      </c>
    </row>
    <row r="463" spans="2:8" ht="15.95" customHeight="1">
      <c r="B463" s="41">
        <v>0.77</v>
      </c>
      <c r="C463" s="41" t="e">
        <f t="shared" si="143"/>
        <v>#DIV/0!</v>
      </c>
      <c r="D463" s="35" t="e">
        <f t="shared" si="144"/>
        <v>#DIV/0!</v>
      </c>
      <c r="E463" s="41" t="e">
        <f t="shared" si="145"/>
        <v>#DIV/0!</v>
      </c>
      <c r="F463" s="36" t="e">
        <f t="shared" si="146"/>
        <v>#DIV/0!</v>
      </c>
      <c r="G463" s="36" t="e">
        <f t="shared" si="147"/>
        <v>#DIV/0!</v>
      </c>
      <c r="H463" s="36" t="e">
        <f t="shared" si="148"/>
        <v>#DIV/0!</v>
      </c>
    </row>
    <row r="464" spans="2:8" ht="15.95" customHeight="1">
      <c r="B464" s="41">
        <v>0.77500000000000002</v>
      </c>
      <c r="C464" s="41" t="e">
        <f t="shared" si="143"/>
        <v>#DIV/0!</v>
      </c>
      <c r="D464" s="35" t="e">
        <f t="shared" si="144"/>
        <v>#DIV/0!</v>
      </c>
      <c r="E464" s="41" t="e">
        <f t="shared" si="145"/>
        <v>#DIV/0!</v>
      </c>
      <c r="F464" s="36" t="e">
        <f t="shared" si="146"/>
        <v>#DIV/0!</v>
      </c>
      <c r="G464" s="36" t="e">
        <f t="shared" si="147"/>
        <v>#DIV/0!</v>
      </c>
      <c r="H464" s="36" t="e">
        <f t="shared" si="148"/>
        <v>#DIV/0!</v>
      </c>
    </row>
    <row r="465" spans="2:8" ht="15.95" customHeight="1">
      <c r="B465" s="41">
        <v>0.78</v>
      </c>
      <c r="C465" s="41" t="e">
        <f t="shared" si="143"/>
        <v>#DIV/0!</v>
      </c>
      <c r="D465" s="35" t="e">
        <f t="shared" si="144"/>
        <v>#DIV/0!</v>
      </c>
      <c r="E465" s="41" t="e">
        <f t="shared" si="145"/>
        <v>#DIV/0!</v>
      </c>
      <c r="F465" s="36" t="e">
        <f t="shared" si="146"/>
        <v>#DIV/0!</v>
      </c>
      <c r="G465" s="36" t="e">
        <f t="shared" si="147"/>
        <v>#DIV/0!</v>
      </c>
      <c r="H465" s="36" t="e">
        <f t="shared" si="148"/>
        <v>#DIV/0!</v>
      </c>
    </row>
    <row r="466" spans="2:8" ht="15.95" customHeight="1">
      <c r="B466" s="41">
        <v>0.78500000000000003</v>
      </c>
      <c r="C466" s="41" t="e">
        <f t="shared" si="143"/>
        <v>#DIV/0!</v>
      </c>
      <c r="D466" s="35" t="e">
        <f t="shared" si="144"/>
        <v>#DIV/0!</v>
      </c>
      <c r="E466" s="41" t="e">
        <f t="shared" si="145"/>
        <v>#DIV/0!</v>
      </c>
      <c r="F466" s="36" t="e">
        <f t="shared" si="146"/>
        <v>#DIV/0!</v>
      </c>
      <c r="G466" s="36" t="e">
        <f t="shared" si="147"/>
        <v>#DIV/0!</v>
      </c>
      <c r="H466" s="36" t="e">
        <f t="shared" si="148"/>
        <v>#DIV/0!</v>
      </c>
    </row>
    <row r="467" spans="2:8" ht="15.95" customHeight="1">
      <c r="B467" s="41">
        <v>0.79</v>
      </c>
      <c r="C467" s="41" t="e">
        <f t="shared" si="143"/>
        <v>#DIV/0!</v>
      </c>
      <c r="D467" s="35" t="e">
        <f t="shared" si="144"/>
        <v>#DIV/0!</v>
      </c>
      <c r="E467" s="41" t="e">
        <f t="shared" si="145"/>
        <v>#DIV/0!</v>
      </c>
      <c r="F467" s="36" t="e">
        <f t="shared" si="146"/>
        <v>#DIV/0!</v>
      </c>
      <c r="G467" s="36" t="e">
        <f t="shared" si="147"/>
        <v>#DIV/0!</v>
      </c>
      <c r="H467" s="36" t="e">
        <f t="shared" si="148"/>
        <v>#DIV/0!</v>
      </c>
    </row>
    <row r="468" spans="2:8" ht="15.95" customHeight="1">
      <c r="B468" s="41">
        <v>0.79500000000000004</v>
      </c>
      <c r="C468" s="41" t="e">
        <f t="shared" si="143"/>
        <v>#DIV/0!</v>
      </c>
      <c r="D468" s="35" t="e">
        <f t="shared" si="144"/>
        <v>#DIV/0!</v>
      </c>
      <c r="E468" s="41" t="e">
        <f t="shared" si="145"/>
        <v>#DIV/0!</v>
      </c>
      <c r="F468" s="36" t="e">
        <f t="shared" si="146"/>
        <v>#DIV/0!</v>
      </c>
      <c r="G468" s="36" t="e">
        <f t="shared" si="147"/>
        <v>#DIV/0!</v>
      </c>
      <c r="H468" s="36" t="e">
        <f t="shared" si="148"/>
        <v>#DIV/0!</v>
      </c>
    </row>
    <row r="469" spans="2:8" ht="15.95" customHeight="1">
      <c r="B469" s="41">
        <v>0.8</v>
      </c>
      <c r="C469" s="41" t="e">
        <f t="shared" si="143"/>
        <v>#DIV/0!</v>
      </c>
      <c r="D469" s="35" t="e">
        <f t="shared" si="144"/>
        <v>#DIV/0!</v>
      </c>
      <c r="E469" s="41" t="e">
        <f t="shared" si="145"/>
        <v>#DIV/0!</v>
      </c>
      <c r="F469" s="36" t="e">
        <f t="shared" si="146"/>
        <v>#DIV/0!</v>
      </c>
      <c r="G469" s="36" t="e">
        <f t="shared" si="147"/>
        <v>#DIV/0!</v>
      </c>
      <c r="H469" s="36" t="e">
        <f t="shared" si="148"/>
        <v>#DIV/0!</v>
      </c>
    </row>
    <row r="470" spans="2:8" ht="15.95" customHeight="1">
      <c r="B470" s="41">
        <v>0.80500000000000005</v>
      </c>
      <c r="C470" s="41" t="e">
        <f t="shared" si="143"/>
        <v>#DIV/0!</v>
      </c>
      <c r="D470" s="35" t="e">
        <f t="shared" si="144"/>
        <v>#DIV/0!</v>
      </c>
      <c r="E470" s="41" t="e">
        <f t="shared" si="145"/>
        <v>#DIV/0!</v>
      </c>
      <c r="F470" s="36" t="e">
        <f t="shared" si="146"/>
        <v>#DIV/0!</v>
      </c>
      <c r="G470" s="36" t="e">
        <f t="shared" si="147"/>
        <v>#DIV/0!</v>
      </c>
      <c r="H470" s="36" t="e">
        <f t="shared" si="148"/>
        <v>#DIV/0!</v>
      </c>
    </row>
    <row r="471" spans="2:8" ht="15.95" customHeight="1">
      <c r="B471" s="41">
        <v>0.81</v>
      </c>
      <c r="C471" s="41" t="e">
        <f t="shared" si="143"/>
        <v>#DIV/0!</v>
      </c>
      <c r="D471" s="35" t="e">
        <f t="shared" si="144"/>
        <v>#DIV/0!</v>
      </c>
      <c r="E471" s="41" t="e">
        <f t="shared" si="145"/>
        <v>#DIV/0!</v>
      </c>
      <c r="F471" s="36" t="e">
        <f t="shared" si="146"/>
        <v>#DIV/0!</v>
      </c>
      <c r="G471" s="36" t="e">
        <f t="shared" si="147"/>
        <v>#DIV/0!</v>
      </c>
      <c r="H471" s="36" t="e">
        <f t="shared" si="148"/>
        <v>#DIV/0!</v>
      </c>
    </row>
    <row r="472" spans="2:8" ht="15.95" customHeight="1">
      <c r="B472" s="41">
        <v>0.81499999999999995</v>
      </c>
      <c r="C472" s="41" t="e">
        <f t="shared" si="143"/>
        <v>#DIV/0!</v>
      </c>
      <c r="D472" s="35" t="e">
        <f t="shared" si="144"/>
        <v>#DIV/0!</v>
      </c>
      <c r="E472" s="41" t="e">
        <f t="shared" si="145"/>
        <v>#DIV/0!</v>
      </c>
      <c r="F472" s="36" t="e">
        <f t="shared" si="146"/>
        <v>#DIV/0!</v>
      </c>
      <c r="G472" s="36" t="e">
        <f t="shared" si="147"/>
        <v>#DIV/0!</v>
      </c>
      <c r="H472" s="36" t="e">
        <f t="shared" si="148"/>
        <v>#DIV/0!</v>
      </c>
    </row>
    <row r="473" spans="2:8" ht="15.95" customHeight="1">
      <c r="B473" s="41">
        <v>0.82</v>
      </c>
      <c r="C473" s="41" t="e">
        <f t="shared" si="143"/>
        <v>#DIV/0!</v>
      </c>
      <c r="D473" s="35" t="e">
        <f t="shared" si="144"/>
        <v>#DIV/0!</v>
      </c>
      <c r="E473" s="41" t="e">
        <f t="shared" si="145"/>
        <v>#DIV/0!</v>
      </c>
      <c r="F473" s="36" t="e">
        <f t="shared" si="146"/>
        <v>#DIV/0!</v>
      </c>
      <c r="G473" s="36" t="e">
        <f t="shared" si="147"/>
        <v>#DIV/0!</v>
      </c>
      <c r="H473" s="36" t="e">
        <f t="shared" si="148"/>
        <v>#DIV/0!</v>
      </c>
    </row>
    <row r="474" spans="2:8" ht="15.95" customHeight="1">
      <c r="B474" s="41">
        <v>0.82499999999999996</v>
      </c>
      <c r="C474" s="41" t="e">
        <f t="shared" si="143"/>
        <v>#DIV/0!</v>
      </c>
      <c r="D474" s="35" t="e">
        <f t="shared" si="144"/>
        <v>#DIV/0!</v>
      </c>
      <c r="E474" s="41" t="e">
        <f t="shared" si="145"/>
        <v>#DIV/0!</v>
      </c>
      <c r="F474" s="36" t="e">
        <f t="shared" si="146"/>
        <v>#DIV/0!</v>
      </c>
      <c r="G474" s="36" t="e">
        <f t="shared" si="147"/>
        <v>#DIV/0!</v>
      </c>
      <c r="H474" s="36" t="e">
        <f t="shared" si="148"/>
        <v>#DIV/0!</v>
      </c>
    </row>
    <row r="475" spans="2:8" ht="15.95" customHeight="1">
      <c r="B475" s="41">
        <v>0.83</v>
      </c>
      <c r="C475" s="41" t="e">
        <f t="shared" si="143"/>
        <v>#DIV/0!</v>
      </c>
      <c r="D475" s="35" t="e">
        <f t="shared" si="144"/>
        <v>#DIV/0!</v>
      </c>
      <c r="E475" s="41" t="e">
        <f t="shared" si="145"/>
        <v>#DIV/0!</v>
      </c>
      <c r="F475" s="36" t="e">
        <f t="shared" si="146"/>
        <v>#DIV/0!</v>
      </c>
      <c r="G475" s="36" t="e">
        <f t="shared" si="147"/>
        <v>#DIV/0!</v>
      </c>
      <c r="H475" s="36" t="e">
        <f t="shared" si="148"/>
        <v>#DIV/0!</v>
      </c>
    </row>
    <row r="476" spans="2:8" ht="15.95" customHeight="1">
      <c r="B476" s="41">
        <v>0.83499999999999996</v>
      </c>
      <c r="C476" s="41" t="e">
        <f t="shared" si="143"/>
        <v>#DIV/0!</v>
      </c>
      <c r="D476" s="35" t="e">
        <f t="shared" si="144"/>
        <v>#DIV/0!</v>
      </c>
      <c r="E476" s="41" t="e">
        <f t="shared" si="145"/>
        <v>#DIV/0!</v>
      </c>
      <c r="F476" s="36" t="e">
        <f t="shared" si="146"/>
        <v>#DIV/0!</v>
      </c>
      <c r="G476" s="36" t="e">
        <f t="shared" si="147"/>
        <v>#DIV/0!</v>
      </c>
      <c r="H476" s="36" t="e">
        <f t="shared" si="148"/>
        <v>#DIV/0!</v>
      </c>
    </row>
    <row r="477" spans="2:8" ht="15.95" customHeight="1">
      <c r="B477" s="41">
        <v>0.84</v>
      </c>
      <c r="C477" s="41" t="e">
        <f t="shared" si="143"/>
        <v>#DIV/0!</v>
      </c>
      <c r="D477" s="35" t="e">
        <f t="shared" si="144"/>
        <v>#DIV/0!</v>
      </c>
      <c r="E477" s="41" t="e">
        <f t="shared" si="145"/>
        <v>#DIV/0!</v>
      </c>
      <c r="F477" s="36" t="e">
        <f t="shared" si="146"/>
        <v>#DIV/0!</v>
      </c>
      <c r="G477" s="36" t="e">
        <f t="shared" si="147"/>
        <v>#DIV/0!</v>
      </c>
      <c r="H477" s="36" t="e">
        <f t="shared" si="148"/>
        <v>#DIV/0!</v>
      </c>
    </row>
    <row r="478" spans="2:8" ht="15.95" customHeight="1">
      <c r="B478" s="41">
        <v>0.84499999999999997</v>
      </c>
      <c r="C478" s="41" t="e">
        <f t="shared" si="143"/>
        <v>#DIV/0!</v>
      </c>
      <c r="D478" s="35" t="e">
        <f t="shared" si="144"/>
        <v>#DIV/0!</v>
      </c>
      <c r="E478" s="41" t="e">
        <f t="shared" si="145"/>
        <v>#DIV/0!</v>
      </c>
      <c r="F478" s="36" t="e">
        <f t="shared" si="146"/>
        <v>#DIV/0!</v>
      </c>
      <c r="G478" s="36" t="e">
        <f t="shared" si="147"/>
        <v>#DIV/0!</v>
      </c>
      <c r="H478" s="36" t="e">
        <f t="shared" si="148"/>
        <v>#DIV/0!</v>
      </c>
    </row>
    <row r="479" spans="2:8" ht="15.95" customHeight="1">
      <c r="B479" s="41">
        <v>0.85</v>
      </c>
      <c r="C479" s="41" t="e">
        <f t="shared" si="143"/>
        <v>#DIV/0!</v>
      </c>
      <c r="D479" s="35" t="e">
        <f t="shared" si="144"/>
        <v>#DIV/0!</v>
      </c>
      <c r="E479" s="41" t="e">
        <f t="shared" si="145"/>
        <v>#DIV/0!</v>
      </c>
      <c r="F479" s="36" t="e">
        <f t="shared" si="146"/>
        <v>#DIV/0!</v>
      </c>
      <c r="G479" s="36" t="e">
        <f t="shared" si="147"/>
        <v>#DIV/0!</v>
      </c>
      <c r="H479" s="36" t="e">
        <f t="shared" si="148"/>
        <v>#DIV/0!</v>
      </c>
    </row>
    <row r="480" spans="2:8" ht="15.95" customHeight="1">
      <c r="B480" s="41">
        <v>0.85499999999999998</v>
      </c>
      <c r="C480" s="41" t="e">
        <f t="shared" si="143"/>
        <v>#DIV/0!</v>
      </c>
      <c r="D480" s="35" t="e">
        <f t="shared" si="144"/>
        <v>#DIV/0!</v>
      </c>
      <c r="E480" s="41" t="e">
        <f t="shared" si="145"/>
        <v>#DIV/0!</v>
      </c>
      <c r="F480" s="36" t="e">
        <f t="shared" si="146"/>
        <v>#DIV/0!</v>
      </c>
      <c r="G480" s="36" t="e">
        <f t="shared" si="147"/>
        <v>#DIV/0!</v>
      </c>
      <c r="H480" s="36" t="e">
        <f t="shared" si="148"/>
        <v>#DIV/0!</v>
      </c>
    </row>
    <row r="481" spans="2:17" ht="15.95" customHeight="1">
      <c r="B481" s="41">
        <v>0.86</v>
      </c>
      <c r="C481" s="41" t="e">
        <f t="shared" si="143"/>
        <v>#DIV/0!</v>
      </c>
      <c r="D481" s="35" t="e">
        <f t="shared" si="144"/>
        <v>#DIV/0!</v>
      </c>
      <c r="E481" s="41" t="e">
        <f t="shared" si="145"/>
        <v>#DIV/0!</v>
      </c>
      <c r="F481" s="36" t="e">
        <f t="shared" si="146"/>
        <v>#DIV/0!</v>
      </c>
      <c r="G481" s="36" t="e">
        <f t="shared" si="147"/>
        <v>#DIV/0!</v>
      </c>
      <c r="H481" s="36" t="e">
        <f t="shared" si="148"/>
        <v>#DIV/0!</v>
      </c>
    </row>
    <row r="482" spans="2:17" ht="15.95" customHeight="1">
      <c r="B482" s="41">
        <v>0.86499999999999999</v>
      </c>
      <c r="C482" s="41" t="e">
        <f t="shared" si="143"/>
        <v>#DIV/0!</v>
      </c>
      <c r="D482" s="35" t="e">
        <f t="shared" si="144"/>
        <v>#DIV/0!</v>
      </c>
      <c r="E482" s="41" t="e">
        <f t="shared" si="145"/>
        <v>#DIV/0!</v>
      </c>
      <c r="F482" s="36" t="e">
        <f t="shared" si="146"/>
        <v>#DIV/0!</v>
      </c>
      <c r="G482" s="36" t="e">
        <f t="shared" si="147"/>
        <v>#DIV/0!</v>
      </c>
      <c r="H482" s="36" t="e">
        <f t="shared" si="148"/>
        <v>#DIV/0!</v>
      </c>
    </row>
    <row r="483" spans="2:17" ht="15.95" customHeight="1">
      <c r="B483" s="41">
        <v>0.87</v>
      </c>
      <c r="C483" s="41" t="e">
        <f t="shared" si="143"/>
        <v>#DIV/0!</v>
      </c>
      <c r="D483" s="35" t="e">
        <f t="shared" si="144"/>
        <v>#DIV/0!</v>
      </c>
      <c r="E483" s="41" t="e">
        <f t="shared" si="145"/>
        <v>#DIV/0!</v>
      </c>
      <c r="F483" s="36" t="e">
        <f t="shared" si="146"/>
        <v>#DIV/0!</v>
      </c>
      <c r="G483" s="36" t="e">
        <f t="shared" si="147"/>
        <v>#DIV/0!</v>
      </c>
      <c r="H483" s="36" t="e">
        <f t="shared" si="148"/>
        <v>#DIV/0!</v>
      </c>
    </row>
    <row r="484" spans="2:17" ht="15.95" customHeight="1">
      <c r="B484" s="41">
        <v>0.875</v>
      </c>
      <c r="C484" s="41" t="e">
        <f t="shared" si="143"/>
        <v>#DIV/0!</v>
      </c>
      <c r="D484" s="35" t="e">
        <f t="shared" si="144"/>
        <v>#DIV/0!</v>
      </c>
      <c r="E484" s="41" t="e">
        <f t="shared" si="145"/>
        <v>#DIV/0!</v>
      </c>
      <c r="F484" s="36" t="e">
        <f t="shared" si="146"/>
        <v>#DIV/0!</v>
      </c>
      <c r="G484" s="36" t="e">
        <f t="shared" si="147"/>
        <v>#DIV/0!</v>
      </c>
      <c r="H484" s="36" t="e">
        <f t="shared" si="148"/>
        <v>#DIV/0!</v>
      </c>
    </row>
    <row r="485" spans="2:17" ht="15.95" customHeight="1">
      <c r="B485" s="41">
        <v>0.88</v>
      </c>
      <c r="C485" s="41" t="e">
        <f t="shared" si="143"/>
        <v>#DIV/0!</v>
      </c>
      <c r="D485" s="35" t="e">
        <f t="shared" si="144"/>
        <v>#DIV/0!</v>
      </c>
      <c r="E485" s="41" t="e">
        <f t="shared" si="145"/>
        <v>#DIV/0!</v>
      </c>
      <c r="F485" s="36" t="e">
        <f t="shared" si="146"/>
        <v>#DIV/0!</v>
      </c>
      <c r="G485" s="36" t="e">
        <f t="shared" si="147"/>
        <v>#DIV/0!</v>
      </c>
      <c r="H485" s="36" t="e">
        <f t="shared" si="148"/>
        <v>#DIV/0!</v>
      </c>
      <c r="O485" s="24"/>
    </row>
    <row r="486" spans="2:17" ht="15.95" customHeight="1">
      <c r="B486" s="41">
        <v>0.88500000000000001</v>
      </c>
      <c r="C486" s="41" t="e">
        <f t="shared" si="143"/>
        <v>#DIV/0!</v>
      </c>
      <c r="D486" s="35" t="e">
        <f t="shared" si="144"/>
        <v>#DIV/0!</v>
      </c>
      <c r="E486" s="41" t="e">
        <f t="shared" si="145"/>
        <v>#DIV/0!</v>
      </c>
      <c r="F486" s="36" t="e">
        <f t="shared" si="146"/>
        <v>#DIV/0!</v>
      </c>
      <c r="G486" s="36" t="e">
        <f t="shared" si="147"/>
        <v>#DIV/0!</v>
      </c>
      <c r="H486" s="36" t="e">
        <f t="shared" si="148"/>
        <v>#DIV/0!</v>
      </c>
      <c r="N486" s="24"/>
      <c r="O486" s="24"/>
      <c r="P486" s="24"/>
      <c r="Q486" s="24"/>
    </row>
    <row r="487" spans="2:17" ht="15.95" customHeight="1">
      <c r="B487" s="41">
        <v>0.89</v>
      </c>
      <c r="C487" s="41" t="e">
        <f t="shared" si="143"/>
        <v>#DIV/0!</v>
      </c>
      <c r="D487" s="35" t="e">
        <f t="shared" si="144"/>
        <v>#DIV/0!</v>
      </c>
      <c r="E487" s="41" t="e">
        <f t="shared" si="145"/>
        <v>#DIV/0!</v>
      </c>
      <c r="F487" s="36" t="e">
        <f t="shared" si="146"/>
        <v>#DIV/0!</v>
      </c>
      <c r="G487" s="36" t="e">
        <f t="shared" si="147"/>
        <v>#DIV/0!</v>
      </c>
      <c r="H487" s="36" t="e">
        <f t="shared" si="148"/>
        <v>#DIV/0!</v>
      </c>
      <c r="N487" s="24"/>
      <c r="O487" s="24"/>
      <c r="P487" s="24"/>
      <c r="Q487" s="24"/>
    </row>
    <row r="488" spans="2:17" ht="15.95" customHeight="1">
      <c r="B488" s="41">
        <v>0.89500000000000002</v>
      </c>
      <c r="C488" s="41" t="e">
        <f t="shared" si="143"/>
        <v>#DIV/0!</v>
      </c>
      <c r="D488" s="35" t="e">
        <f t="shared" si="144"/>
        <v>#DIV/0!</v>
      </c>
      <c r="E488" s="41" t="e">
        <f t="shared" si="145"/>
        <v>#DIV/0!</v>
      </c>
      <c r="F488" s="36" t="e">
        <f t="shared" si="146"/>
        <v>#DIV/0!</v>
      </c>
      <c r="G488" s="36" t="e">
        <f t="shared" si="147"/>
        <v>#DIV/0!</v>
      </c>
      <c r="H488" s="36" t="e">
        <f t="shared" si="148"/>
        <v>#DIV/0!</v>
      </c>
      <c r="N488" s="24"/>
      <c r="O488" s="24"/>
      <c r="P488" s="24"/>
      <c r="Q488" s="24"/>
    </row>
    <row r="489" spans="2:17" ht="15.95" customHeight="1">
      <c r="B489" s="41">
        <v>0.9</v>
      </c>
      <c r="C489" s="41" t="e">
        <f t="shared" si="143"/>
        <v>#DIV/0!</v>
      </c>
      <c r="D489" s="35" t="e">
        <f t="shared" si="144"/>
        <v>#DIV/0!</v>
      </c>
      <c r="E489" s="41" t="e">
        <f t="shared" si="145"/>
        <v>#DIV/0!</v>
      </c>
      <c r="F489" s="36" t="e">
        <f t="shared" si="146"/>
        <v>#DIV/0!</v>
      </c>
      <c r="G489" s="36" t="e">
        <f t="shared" si="147"/>
        <v>#DIV/0!</v>
      </c>
      <c r="H489" s="36" t="e">
        <f t="shared" si="148"/>
        <v>#DIV/0!</v>
      </c>
      <c r="N489" s="24"/>
      <c r="O489" s="24"/>
      <c r="P489" s="24"/>
      <c r="Q489" s="24"/>
    </row>
    <row r="490" spans="2:17" ht="15.95" customHeight="1">
      <c r="B490" s="41">
        <v>0.90500000000000003</v>
      </c>
      <c r="C490" s="41" t="e">
        <f t="shared" si="143"/>
        <v>#DIV/0!</v>
      </c>
      <c r="D490" s="35" t="e">
        <f t="shared" si="144"/>
        <v>#DIV/0!</v>
      </c>
      <c r="E490" s="41" t="e">
        <f t="shared" si="145"/>
        <v>#DIV/0!</v>
      </c>
      <c r="F490" s="36" t="e">
        <f t="shared" si="146"/>
        <v>#DIV/0!</v>
      </c>
      <c r="G490" s="36" t="e">
        <f t="shared" si="147"/>
        <v>#DIV/0!</v>
      </c>
      <c r="H490" s="36" t="e">
        <f t="shared" si="148"/>
        <v>#DIV/0!</v>
      </c>
      <c r="N490" s="24"/>
      <c r="O490" s="24"/>
      <c r="P490" s="24"/>
      <c r="Q490" s="24"/>
    </row>
    <row r="491" spans="2:17" ht="15.95" customHeight="1">
      <c r="B491" s="41">
        <v>0.91</v>
      </c>
      <c r="C491" s="41" t="e">
        <f t="shared" si="143"/>
        <v>#DIV/0!</v>
      </c>
      <c r="D491" s="35" t="e">
        <f t="shared" si="144"/>
        <v>#DIV/0!</v>
      </c>
      <c r="E491" s="41" t="e">
        <f t="shared" si="145"/>
        <v>#DIV/0!</v>
      </c>
      <c r="F491" s="36" t="e">
        <f t="shared" si="146"/>
        <v>#DIV/0!</v>
      </c>
      <c r="G491" s="36" t="e">
        <f t="shared" si="147"/>
        <v>#DIV/0!</v>
      </c>
      <c r="H491" s="36" t="e">
        <f t="shared" si="148"/>
        <v>#DIV/0!</v>
      </c>
      <c r="N491" s="24"/>
      <c r="O491" s="24"/>
      <c r="P491" s="24"/>
      <c r="Q491" s="24"/>
    </row>
    <row r="492" spans="2:17" ht="15.95" customHeight="1">
      <c r="B492" s="41">
        <v>0.91500000000000004</v>
      </c>
      <c r="C492" s="41" t="e">
        <f t="shared" si="143"/>
        <v>#DIV/0!</v>
      </c>
      <c r="D492" s="35" t="e">
        <f t="shared" si="144"/>
        <v>#DIV/0!</v>
      </c>
      <c r="E492" s="41" t="e">
        <f t="shared" si="145"/>
        <v>#DIV/0!</v>
      </c>
      <c r="F492" s="36" t="e">
        <f t="shared" si="146"/>
        <v>#DIV/0!</v>
      </c>
      <c r="G492" s="36" t="e">
        <f t="shared" si="147"/>
        <v>#DIV/0!</v>
      </c>
      <c r="H492" s="36" t="e">
        <f t="shared" si="148"/>
        <v>#DIV/0!</v>
      </c>
      <c r="N492" s="24"/>
      <c r="O492" s="24"/>
      <c r="P492" s="24"/>
      <c r="Q492" s="24"/>
    </row>
    <row r="493" spans="2:17" ht="15.95" customHeight="1">
      <c r="B493" s="41">
        <v>0.92</v>
      </c>
      <c r="C493" s="41" t="e">
        <f t="shared" si="143"/>
        <v>#DIV/0!</v>
      </c>
      <c r="D493" s="35" t="e">
        <f t="shared" si="144"/>
        <v>#DIV/0!</v>
      </c>
      <c r="E493" s="41" t="e">
        <f t="shared" si="145"/>
        <v>#DIV/0!</v>
      </c>
      <c r="F493" s="36" t="e">
        <f t="shared" si="146"/>
        <v>#DIV/0!</v>
      </c>
      <c r="G493" s="36" t="e">
        <f t="shared" si="147"/>
        <v>#DIV/0!</v>
      </c>
      <c r="H493" s="36" t="e">
        <f t="shared" si="148"/>
        <v>#DIV/0!</v>
      </c>
      <c r="N493" s="24"/>
      <c r="O493" s="24"/>
      <c r="P493" s="24"/>
      <c r="Q493" s="24"/>
    </row>
    <row r="494" spans="2:17" ht="15.95" customHeight="1">
      <c r="B494" s="41">
        <v>0.92500000000000004</v>
      </c>
      <c r="C494" s="41" t="e">
        <f t="shared" si="143"/>
        <v>#DIV/0!</v>
      </c>
      <c r="D494" s="35" t="e">
        <f t="shared" si="144"/>
        <v>#DIV/0!</v>
      </c>
      <c r="E494" s="41" t="e">
        <f t="shared" si="145"/>
        <v>#DIV/0!</v>
      </c>
      <c r="F494" s="36" t="e">
        <f t="shared" si="146"/>
        <v>#DIV/0!</v>
      </c>
      <c r="G494" s="36" t="e">
        <f t="shared" si="147"/>
        <v>#DIV/0!</v>
      </c>
      <c r="H494" s="36" t="e">
        <f t="shared" si="148"/>
        <v>#DIV/0!</v>
      </c>
      <c r="N494" s="24"/>
      <c r="O494" s="24"/>
      <c r="P494" s="24"/>
      <c r="Q494" s="24"/>
    </row>
    <row r="495" spans="2:17" ht="15.95" customHeight="1">
      <c r="B495" s="41">
        <v>0.93</v>
      </c>
      <c r="C495" s="41" t="e">
        <f t="shared" si="143"/>
        <v>#DIV/0!</v>
      </c>
      <c r="D495" s="35" t="e">
        <f t="shared" si="144"/>
        <v>#DIV/0!</v>
      </c>
      <c r="E495" s="41" t="e">
        <f t="shared" si="145"/>
        <v>#DIV/0!</v>
      </c>
      <c r="F495" s="36" t="e">
        <f t="shared" si="146"/>
        <v>#DIV/0!</v>
      </c>
      <c r="G495" s="36" t="e">
        <f t="shared" si="147"/>
        <v>#DIV/0!</v>
      </c>
      <c r="H495" s="36" t="e">
        <f t="shared" si="148"/>
        <v>#DIV/0!</v>
      </c>
      <c r="N495" s="24"/>
      <c r="O495" s="24"/>
      <c r="P495" s="24"/>
      <c r="Q495" s="24"/>
    </row>
    <row r="496" spans="2:17" ht="15.95" customHeight="1">
      <c r="B496" s="41">
        <v>0.93500000000000005</v>
      </c>
      <c r="C496" s="41" t="e">
        <f t="shared" si="143"/>
        <v>#DIV/0!</v>
      </c>
      <c r="D496" s="35" t="e">
        <f t="shared" si="144"/>
        <v>#DIV/0!</v>
      </c>
      <c r="E496" s="41" t="e">
        <f t="shared" si="145"/>
        <v>#DIV/0!</v>
      </c>
      <c r="F496" s="36" t="e">
        <f t="shared" si="146"/>
        <v>#DIV/0!</v>
      </c>
      <c r="G496" s="36" t="e">
        <f t="shared" si="147"/>
        <v>#DIV/0!</v>
      </c>
      <c r="H496" s="36" t="e">
        <f t="shared" si="148"/>
        <v>#DIV/0!</v>
      </c>
      <c r="N496" s="24"/>
      <c r="O496" s="24"/>
      <c r="P496" s="24"/>
      <c r="Q496" s="24"/>
    </row>
    <row r="497" spans="2:16" ht="15.95" customHeight="1">
      <c r="B497" s="41">
        <v>0.94</v>
      </c>
      <c r="C497" s="41" t="e">
        <f t="shared" si="143"/>
        <v>#DIV/0!</v>
      </c>
      <c r="D497" s="35" t="e">
        <f t="shared" si="144"/>
        <v>#DIV/0!</v>
      </c>
      <c r="E497" s="41" t="e">
        <f t="shared" si="145"/>
        <v>#DIV/0!</v>
      </c>
      <c r="F497" s="36" t="e">
        <f t="shared" si="146"/>
        <v>#DIV/0!</v>
      </c>
      <c r="G497" s="36" t="e">
        <f t="shared" si="147"/>
        <v>#DIV/0!</v>
      </c>
      <c r="H497" s="36" t="e">
        <f t="shared" si="148"/>
        <v>#DIV/0!</v>
      </c>
      <c r="N497" s="24"/>
      <c r="O497" s="24"/>
      <c r="P497" s="24"/>
    </row>
    <row r="498" spans="2:16" ht="15.95" customHeight="1">
      <c r="B498" s="41">
        <v>0.94499999999999995</v>
      </c>
      <c r="C498" s="41" t="e">
        <f t="shared" si="143"/>
        <v>#DIV/0!</v>
      </c>
      <c r="D498" s="35" t="e">
        <f t="shared" si="144"/>
        <v>#DIV/0!</v>
      </c>
      <c r="E498" s="41" t="e">
        <f t="shared" si="145"/>
        <v>#DIV/0!</v>
      </c>
      <c r="F498" s="36" t="e">
        <f t="shared" si="146"/>
        <v>#DIV/0!</v>
      </c>
      <c r="G498" s="36" t="e">
        <f t="shared" si="147"/>
        <v>#DIV/0!</v>
      </c>
      <c r="H498" s="36" t="e">
        <f t="shared" si="148"/>
        <v>#DIV/0!</v>
      </c>
    </row>
    <row r="499" spans="2:16" ht="15.95" customHeight="1">
      <c r="B499" s="41">
        <v>0.95</v>
      </c>
      <c r="C499" s="41" t="e">
        <f t="shared" si="143"/>
        <v>#DIV/0!</v>
      </c>
      <c r="D499" s="35" t="e">
        <f t="shared" si="144"/>
        <v>#DIV/0!</v>
      </c>
      <c r="E499" s="41" t="e">
        <f t="shared" si="145"/>
        <v>#DIV/0!</v>
      </c>
      <c r="F499" s="36" t="e">
        <f t="shared" si="146"/>
        <v>#DIV/0!</v>
      </c>
      <c r="G499" s="36" t="e">
        <f t="shared" si="147"/>
        <v>#DIV/0!</v>
      </c>
      <c r="H499" s="36" t="e">
        <f t="shared" si="148"/>
        <v>#DIV/0!</v>
      </c>
    </row>
    <row r="500" spans="2:16" ht="15.95" customHeight="1">
      <c r="B500" s="41">
        <v>0.95499999999999996</v>
      </c>
      <c r="C500" s="41" t="e">
        <f t="shared" si="143"/>
        <v>#DIV/0!</v>
      </c>
      <c r="D500" s="35" t="e">
        <f t="shared" si="144"/>
        <v>#DIV/0!</v>
      </c>
      <c r="E500" s="41" t="e">
        <f t="shared" si="145"/>
        <v>#DIV/0!</v>
      </c>
      <c r="F500" s="36" t="e">
        <f t="shared" si="146"/>
        <v>#DIV/0!</v>
      </c>
      <c r="G500" s="36" t="e">
        <f t="shared" si="147"/>
        <v>#DIV/0!</v>
      </c>
      <c r="H500" s="36" t="e">
        <f t="shared" si="148"/>
        <v>#DIV/0!</v>
      </c>
    </row>
    <row r="501" spans="2:16" ht="15.95" customHeight="1">
      <c r="B501" s="41">
        <v>0.96</v>
      </c>
      <c r="C501" s="41" t="e">
        <f t="shared" si="143"/>
        <v>#DIV/0!</v>
      </c>
      <c r="D501" s="35" t="e">
        <f t="shared" si="144"/>
        <v>#DIV/0!</v>
      </c>
      <c r="E501" s="41" t="e">
        <f t="shared" si="145"/>
        <v>#DIV/0!</v>
      </c>
      <c r="F501" s="36" t="e">
        <f t="shared" si="146"/>
        <v>#DIV/0!</v>
      </c>
      <c r="G501" s="36" t="e">
        <f t="shared" si="147"/>
        <v>#DIV/0!</v>
      </c>
      <c r="H501" s="36" t="e">
        <f t="shared" si="148"/>
        <v>#DIV/0!</v>
      </c>
    </row>
    <row r="502" spans="2:16" ht="15.95" customHeight="1">
      <c r="B502" s="41">
        <v>0.96499999999999997</v>
      </c>
      <c r="C502" s="41" t="e">
        <f t="shared" si="143"/>
        <v>#DIV/0!</v>
      </c>
      <c r="D502" s="35" t="e">
        <f t="shared" si="144"/>
        <v>#DIV/0!</v>
      </c>
      <c r="E502" s="41" t="e">
        <f t="shared" si="145"/>
        <v>#DIV/0!</v>
      </c>
      <c r="F502" s="36" t="e">
        <f t="shared" si="146"/>
        <v>#DIV/0!</v>
      </c>
      <c r="G502" s="36" t="e">
        <f t="shared" si="147"/>
        <v>#DIV/0!</v>
      </c>
      <c r="H502" s="36" t="e">
        <f t="shared" si="148"/>
        <v>#DIV/0!</v>
      </c>
    </row>
    <row r="503" spans="2:16" ht="15.95" customHeight="1">
      <c r="B503" s="41">
        <v>0.97</v>
      </c>
      <c r="C503" s="41" t="e">
        <f t="shared" ref="C503:C509" si="149">((-LN(B503))/$M$22)*10000</f>
        <v>#DIV/0!</v>
      </c>
      <c r="D503" s="35" t="e">
        <f t="shared" ref="D503:D509" si="150">C503*SIN($F$15*PI()/180)</f>
        <v>#DIV/0!</v>
      </c>
      <c r="E503" s="41" t="e">
        <f t="shared" ref="E503:E509" si="151">D503/SIN((0.5*$H$15*PI()/180))</f>
        <v>#DIV/0!</v>
      </c>
      <c r="F503" s="36" t="e">
        <f t="shared" ref="F503:F509" si="152">B503*EXP(-($M$22/10000)*E503)*100</f>
        <v>#DIV/0!</v>
      </c>
      <c r="G503" s="36" t="e">
        <f t="shared" ref="G503:G509" si="153">D503/SIN((0.5*$J$15*PI()/180))</f>
        <v>#DIV/0!</v>
      </c>
      <c r="H503" s="36" t="e">
        <f t="shared" ref="H503:H509" si="154">B503*EXP(-($M$22/10000)*G503)*100</f>
        <v>#DIV/0!</v>
      </c>
    </row>
    <row r="504" spans="2:16" ht="15.95" customHeight="1">
      <c r="B504" s="41">
        <v>0.97499999999999998</v>
      </c>
      <c r="C504" s="41" t="e">
        <f t="shared" si="149"/>
        <v>#DIV/0!</v>
      </c>
      <c r="D504" s="35" t="e">
        <f t="shared" si="150"/>
        <v>#DIV/0!</v>
      </c>
      <c r="E504" s="41" t="e">
        <f t="shared" si="151"/>
        <v>#DIV/0!</v>
      </c>
      <c r="F504" s="36" t="e">
        <f t="shared" si="152"/>
        <v>#DIV/0!</v>
      </c>
      <c r="G504" s="36" t="e">
        <f t="shared" si="153"/>
        <v>#DIV/0!</v>
      </c>
      <c r="H504" s="36" t="e">
        <f t="shared" si="154"/>
        <v>#DIV/0!</v>
      </c>
    </row>
    <row r="505" spans="2:16" ht="15.95" customHeight="1">
      <c r="B505" s="41">
        <v>0.98</v>
      </c>
      <c r="C505" s="41" t="e">
        <f t="shared" si="149"/>
        <v>#DIV/0!</v>
      </c>
      <c r="D505" s="35" t="e">
        <f t="shared" si="150"/>
        <v>#DIV/0!</v>
      </c>
      <c r="E505" s="41" t="e">
        <f t="shared" si="151"/>
        <v>#DIV/0!</v>
      </c>
      <c r="F505" s="36" t="e">
        <f t="shared" si="152"/>
        <v>#DIV/0!</v>
      </c>
      <c r="G505" s="36" t="e">
        <f t="shared" si="153"/>
        <v>#DIV/0!</v>
      </c>
      <c r="H505" s="36" t="e">
        <f t="shared" si="154"/>
        <v>#DIV/0!</v>
      </c>
    </row>
    <row r="506" spans="2:16" ht="15.95" customHeight="1">
      <c r="B506" s="41">
        <v>0.98499999999999999</v>
      </c>
      <c r="C506" s="41" t="e">
        <f t="shared" si="149"/>
        <v>#DIV/0!</v>
      </c>
      <c r="D506" s="35" t="e">
        <f t="shared" si="150"/>
        <v>#DIV/0!</v>
      </c>
      <c r="E506" s="41" t="e">
        <f t="shared" si="151"/>
        <v>#DIV/0!</v>
      </c>
      <c r="F506" s="36" t="e">
        <f t="shared" si="152"/>
        <v>#DIV/0!</v>
      </c>
      <c r="G506" s="36" t="e">
        <f t="shared" si="153"/>
        <v>#DIV/0!</v>
      </c>
      <c r="H506" s="36" t="e">
        <f t="shared" si="154"/>
        <v>#DIV/0!</v>
      </c>
    </row>
    <row r="507" spans="2:16" ht="15.95" customHeight="1">
      <c r="B507" s="41">
        <v>0.99</v>
      </c>
      <c r="C507" s="41" t="e">
        <f t="shared" si="149"/>
        <v>#DIV/0!</v>
      </c>
      <c r="D507" s="35" t="e">
        <f t="shared" si="150"/>
        <v>#DIV/0!</v>
      </c>
      <c r="E507" s="41" t="e">
        <f t="shared" si="151"/>
        <v>#DIV/0!</v>
      </c>
      <c r="F507" s="36" t="e">
        <f t="shared" si="152"/>
        <v>#DIV/0!</v>
      </c>
      <c r="G507" s="36" t="e">
        <f t="shared" si="153"/>
        <v>#DIV/0!</v>
      </c>
      <c r="H507" s="36" t="e">
        <f t="shared" si="154"/>
        <v>#DIV/0!</v>
      </c>
    </row>
    <row r="508" spans="2:16" ht="15.95" customHeight="1">
      <c r="B508" s="41">
        <v>0.995</v>
      </c>
      <c r="C508" s="41" t="e">
        <f t="shared" si="149"/>
        <v>#DIV/0!</v>
      </c>
      <c r="D508" s="35" t="e">
        <f t="shared" si="150"/>
        <v>#DIV/0!</v>
      </c>
      <c r="E508" s="41" t="e">
        <f t="shared" si="151"/>
        <v>#DIV/0!</v>
      </c>
      <c r="F508" s="36" t="e">
        <f t="shared" si="152"/>
        <v>#DIV/0!</v>
      </c>
      <c r="G508" s="36" t="e">
        <f t="shared" si="153"/>
        <v>#DIV/0!</v>
      </c>
      <c r="H508" s="36" t="e">
        <f t="shared" si="154"/>
        <v>#DIV/0!</v>
      </c>
    </row>
    <row r="509" spans="2:16" ht="15.95" customHeight="1">
      <c r="B509" s="41">
        <v>1</v>
      </c>
      <c r="C509" s="41" t="e">
        <f t="shared" si="149"/>
        <v>#DIV/0!</v>
      </c>
      <c r="D509" s="35" t="e">
        <f t="shared" si="150"/>
        <v>#DIV/0!</v>
      </c>
      <c r="E509" s="41" t="e">
        <f t="shared" si="151"/>
        <v>#DIV/0!</v>
      </c>
      <c r="F509" s="36" t="e">
        <f t="shared" si="152"/>
        <v>#DIV/0!</v>
      </c>
      <c r="G509" s="36" t="e">
        <f t="shared" si="153"/>
        <v>#DIV/0!</v>
      </c>
      <c r="H509" s="36" t="e">
        <f t="shared" si="154"/>
        <v>#DIV/0!</v>
      </c>
    </row>
    <row r="510" spans="2:16" ht="15.95" customHeight="1">
      <c r="B510" s="41"/>
      <c r="C510" s="24"/>
      <c r="D510" s="35"/>
      <c r="E510" s="24"/>
    </row>
    <row r="511" spans="2:16" ht="15.95" customHeight="1">
      <c r="B511" s="41"/>
      <c r="C511" s="24"/>
      <c r="D511" s="35"/>
      <c r="E511" s="24"/>
    </row>
    <row r="512" spans="2:16" ht="15.95" customHeight="1">
      <c r="B512" s="41"/>
      <c r="C512" s="24"/>
      <c r="D512" s="35"/>
      <c r="E512" s="24"/>
    </row>
    <row r="513" spans="2:5" ht="15.95" customHeight="1">
      <c r="B513" s="41"/>
      <c r="C513" s="24"/>
      <c r="D513" s="35"/>
      <c r="E513" s="24"/>
    </row>
    <row r="514" spans="2:5" ht="15.95" customHeight="1">
      <c r="B514" s="41"/>
      <c r="C514" s="24"/>
      <c r="D514" s="35"/>
      <c r="E514" s="24"/>
    </row>
    <row r="515" spans="2:5" ht="15.95" customHeight="1">
      <c r="B515" s="41"/>
      <c r="C515" s="24"/>
      <c r="D515" s="35"/>
      <c r="E515" s="24"/>
    </row>
    <row r="516" spans="2:5" ht="15.95" customHeight="1">
      <c r="B516" s="41"/>
      <c r="C516" s="24"/>
      <c r="D516" s="35"/>
      <c r="E516" s="24"/>
    </row>
    <row r="517" spans="2:5" ht="15.95" customHeight="1">
      <c r="B517" s="41"/>
      <c r="C517" s="24"/>
      <c r="D517" s="35"/>
      <c r="E517" s="24"/>
    </row>
    <row r="518" spans="2:5" ht="15.95" customHeight="1">
      <c r="B518" s="35"/>
      <c r="C518" s="24"/>
      <c r="D518" s="35"/>
      <c r="E518" s="24"/>
    </row>
    <row r="519" spans="2:5" ht="15.95" customHeight="1">
      <c r="B519" s="35"/>
      <c r="C519" s="24"/>
      <c r="D519" s="35"/>
      <c r="E519" s="24"/>
    </row>
    <row r="520" spans="2:5" ht="15.95" customHeight="1">
      <c r="B520" s="35"/>
      <c r="C520" s="24"/>
      <c r="D520" s="35"/>
      <c r="E520" s="24"/>
    </row>
    <row r="521" spans="2:5" ht="15.95" customHeight="1">
      <c r="B521" s="35"/>
      <c r="C521" s="24"/>
      <c r="D521" s="35"/>
      <c r="E521" s="24"/>
    </row>
    <row r="522" spans="2:5" ht="15.95" customHeight="1">
      <c r="B522" s="35"/>
      <c r="C522" s="24"/>
      <c r="D522" s="35"/>
      <c r="E522" s="24"/>
    </row>
    <row r="523" spans="2:5" ht="15.95" customHeight="1">
      <c r="B523" s="35"/>
      <c r="C523" s="24"/>
      <c r="D523" s="35"/>
      <c r="E523" s="24"/>
    </row>
    <row r="524" spans="2:5" ht="15.95" customHeight="1">
      <c r="B524" s="35"/>
      <c r="C524" s="24"/>
      <c r="D524" s="35"/>
      <c r="E524" s="24"/>
    </row>
    <row r="525" spans="2:5" ht="15.95" customHeight="1">
      <c r="B525" s="35"/>
      <c r="C525" s="24"/>
      <c r="D525" s="35"/>
      <c r="E525" s="24"/>
    </row>
    <row r="526" spans="2:5" ht="15.95" customHeight="1">
      <c r="B526" s="35"/>
      <c r="C526" s="24"/>
      <c r="D526" s="35"/>
      <c r="E526" s="24"/>
    </row>
    <row r="527" spans="2:5" ht="15.95" customHeight="1">
      <c r="B527" s="35"/>
      <c r="C527" s="24"/>
      <c r="D527" s="35"/>
      <c r="E527" s="24"/>
    </row>
    <row r="528" spans="2:5" ht="15.95" customHeight="1">
      <c r="B528" s="35"/>
      <c r="C528" s="24"/>
      <c r="D528" s="35"/>
      <c r="E528" s="24"/>
    </row>
    <row r="529" spans="2:5" ht="15.95" customHeight="1">
      <c r="B529" s="35"/>
      <c r="C529" s="24"/>
      <c r="D529" s="35"/>
      <c r="E529" s="24"/>
    </row>
    <row r="530" spans="2:5" ht="15.95" customHeight="1">
      <c r="B530" s="35"/>
      <c r="C530" s="24"/>
      <c r="D530" s="35"/>
      <c r="E530" s="24"/>
    </row>
    <row r="531" spans="2:5" ht="15.95" customHeight="1">
      <c r="B531" s="35"/>
      <c r="C531" s="24"/>
      <c r="D531" s="35"/>
      <c r="E531" s="24"/>
    </row>
    <row r="532" spans="2:5" ht="15.95" customHeight="1">
      <c r="B532" s="35"/>
      <c r="C532" s="24"/>
      <c r="D532" s="35"/>
      <c r="E532" s="24"/>
    </row>
    <row r="533" spans="2:5" ht="15.95" customHeight="1">
      <c r="B533" s="35"/>
      <c r="C533" s="24"/>
      <c r="D533" s="35"/>
      <c r="E533" s="24"/>
    </row>
    <row r="534" spans="2:5" ht="15.95" customHeight="1">
      <c r="B534" s="35"/>
      <c r="C534" s="24"/>
      <c r="D534" s="35"/>
      <c r="E534" s="24"/>
    </row>
    <row r="535" spans="2:5" ht="15.95" customHeight="1">
      <c r="B535" s="35"/>
      <c r="C535" s="24"/>
      <c r="D535" s="35"/>
      <c r="E535" s="24"/>
    </row>
    <row r="536" spans="2:5" ht="15.95" customHeight="1">
      <c r="B536" s="35"/>
      <c r="C536" s="24"/>
      <c r="D536" s="35"/>
      <c r="E536" s="24"/>
    </row>
    <row r="537" spans="2:5" ht="15.95" customHeight="1">
      <c r="B537" s="35"/>
      <c r="C537" s="24"/>
      <c r="D537" s="35"/>
      <c r="E537" s="24"/>
    </row>
    <row r="538" spans="2:5" ht="15.95" customHeight="1">
      <c r="B538" s="35"/>
      <c r="C538" s="24"/>
      <c r="D538" s="35"/>
      <c r="E538" s="24"/>
    </row>
    <row r="539" spans="2:5" ht="15.95" customHeight="1">
      <c r="B539" s="35"/>
      <c r="C539" s="24"/>
      <c r="D539" s="35"/>
      <c r="E539" s="24"/>
    </row>
    <row r="540" spans="2:5" ht="15.95" customHeight="1">
      <c r="B540" s="35"/>
      <c r="C540" s="24"/>
      <c r="D540" s="35"/>
      <c r="E540" s="24"/>
    </row>
    <row r="541" spans="2:5" ht="15.95" customHeight="1">
      <c r="B541" s="35"/>
      <c r="C541" s="24"/>
      <c r="D541" s="35"/>
      <c r="E541" s="24"/>
    </row>
    <row r="542" spans="2:5" ht="15.95" customHeight="1">
      <c r="B542" s="35"/>
      <c r="C542" s="24"/>
      <c r="D542" s="35"/>
      <c r="E542" s="24"/>
    </row>
    <row r="543" spans="2:5" ht="15.95" customHeight="1">
      <c r="B543" s="35"/>
      <c r="C543" s="24"/>
      <c r="D543" s="35"/>
      <c r="E543" s="24"/>
    </row>
    <row r="544" spans="2:5" ht="15.95" customHeight="1">
      <c r="B544" s="35"/>
      <c r="C544" s="24"/>
      <c r="D544" s="35"/>
      <c r="E544" s="24"/>
    </row>
    <row r="545" spans="2:5" ht="15.95" customHeight="1">
      <c r="B545" s="35"/>
      <c r="C545" s="24"/>
      <c r="D545" s="35"/>
      <c r="E545" s="24"/>
    </row>
    <row r="546" spans="2:5" ht="15.95" customHeight="1">
      <c r="B546" s="35"/>
      <c r="C546" s="24"/>
      <c r="D546" s="35"/>
      <c r="E546" s="24"/>
    </row>
    <row r="547" spans="2:5" ht="15.95" customHeight="1">
      <c r="B547" s="35"/>
      <c r="C547" s="24"/>
      <c r="D547" s="35"/>
      <c r="E547" s="24"/>
    </row>
    <row r="548" spans="2:5" ht="15.95" customHeight="1">
      <c r="B548" s="35"/>
      <c r="C548" s="24"/>
      <c r="D548" s="35"/>
      <c r="E548" s="24"/>
    </row>
    <row r="549" spans="2:5" ht="15.95" customHeight="1">
      <c r="B549" s="35"/>
      <c r="C549" s="24"/>
      <c r="D549" s="35"/>
      <c r="E549" s="24"/>
    </row>
    <row r="550" spans="2:5" ht="15.95" customHeight="1">
      <c r="B550" s="35"/>
      <c r="C550" s="24"/>
      <c r="D550" s="35"/>
      <c r="E550" s="24"/>
    </row>
    <row r="551" spans="2:5" ht="15.95" customHeight="1">
      <c r="B551" s="35"/>
      <c r="C551" s="24"/>
      <c r="D551" s="35"/>
      <c r="E551" s="24"/>
    </row>
    <row r="552" spans="2:5" ht="15.95" customHeight="1">
      <c r="B552" s="35"/>
      <c r="C552" s="24"/>
      <c r="D552" s="35"/>
      <c r="E552" s="24"/>
    </row>
    <row r="553" spans="2:5" ht="15.95" customHeight="1">
      <c r="B553" s="35"/>
      <c r="C553" s="24"/>
      <c r="D553" s="35"/>
      <c r="E553" s="24"/>
    </row>
    <row r="554" spans="2:5" ht="15.95" customHeight="1">
      <c r="B554" s="35"/>
      <c r="C554" s="24"/>
      <c r="D554" s="35"/>
      <c r="E554" s="24"/>
    </row>
    <row r="555" spans="2:5" ht="15.95" customHeight="1">
      <c r="B555" s="35"/>
      <c r="C555" s="24"/>
      <c r="D555" s="35"/>
      <c r="E555" s="24"/>
    </row>
    <row r="556" spans="2:5" ht="15.95" customHeight="1">
      <c r="B556" s="35"/>
      <c r="C556" s="24"/>
      <c r="D556" s="35"/>
      <c r="E556" s="24"/>
    </row>
    <row r="557" spans="2:5" ht="15.95" customHeight="1">
      <c r="B557" s="35"/>
      <c r="C557" s="24"/>
      <c r="D557" s="35"/>
      <c r="E557" s="24"/>
    </row>
    <row r="558" spans="2:5" ht="15.95" customHeight="1">
      <c r="B558" s="35"/>
      <c r="C558" s="24"/>
      <c r="D558" s="35"/>
      <c r="E558" s="24"/>
    </row>
    <row r="559" spans="2:5" ht="15.95" customHeight="1">
      <c r="B559" s="35"/>
      <c r="C559" s="24"/>
      <c r="D559" s="35"/>
      <c r="E559" s="24"/>
    </row>
    <row r="560" spans="2:5" ht="15.95" customHeight="1">
      <c r="B560" s="35"/>
      <c r="C560" s="24"/>
      <c r="D560" s="35"/>
      <c r="E560" s="24"/>
    </row>
    <row r="561" spans="2:5" ht="15.95" customHeight="1">
      <c r="B561" s="35"/>
      <c r="C561" s="24"/>
      <c r="D561" s="35"/>
      <c r="E561" s="24"/>
    </row>
    <row r="562" spans="2:5" ht="15.95" customHeight="1">
      <c r="B562" s="35"/>
      <c r="C562" s="24"/>
      <c r="D562" s="35"/>
      <c r="E562" s="24"/>
    </row>
    <row r="563" spans="2:5" ht="15.95" customHeight="1">
      <c r="B563" s="35"/>
      <c r="C563" s="24"/>
      <c r="D563" s="35"/>
      <c r="E563" s="24"/>
    </row>
    <row r="564" spans="2:5" ht="15.95" customHeight="1">
      <c r="B564" s="35"/>
      <c r="C564" s="24"/>
      <c r="D564" s="35"/>
      <c r="E564" s="24"/>
    </row>
    <row r="565" spans="2:5" ht="15.95" customHeight="1">
      <c r="B565" s="35"/>
      <c r="C565" s="24"/>
      <c r="D565" s="35"/>
      <c r="E565" s="24"/>
    </row>
    <row r="566" spans="2:5" ht="15.95" customHeight="1">
      <c r="B566" s="35"/>
      <c r="C566" s="24"/>
      <c r="D566" s="35"/>
      <c r="E566" s="24"/>
    </row>
    <row r="567" spans="2:5" ht="15.95" customHeight="1">
      <c r="B567" s="35"/>
      <c r="C567" s="24"/>
      <c r="D567" s="35"/>
      <c r="E567" s="24"/>
    </row>
    <row r="568" spans="2:5" ht="15.95" customHeight="1">
      <c r="B568" s="35"/>
      <c r="C568" s="24"/>
      <c r="D568" s="35"/>
      <c r="E568" s="24"/>
    </row>
    <row r="569" spans="2:5" ht="15.95" customHeight="1">
      <c r="B569" s="35"/>
      <c r="C569" s="24"/>
      <c r="D569" s="35"/>
      <c r="E569" s="24"/>
    </row>
    <row r="570" spans="2:5" ht="15.95" customHeight="1">
      <c r="B570" s="35"/>
      <c r="C570" s="24"/>
      <c r="D570" s="35"/>
      <c r="E570" s="24"/>
    </row>
    <row r="571" spans="2:5" ht="15.95" customHeight="1">
      <c r="B571" s="35"/>
      <c r="C571" s="24"/>
      <c r="D571" s="35"/>
      <c r="E571" s="24"/>
    </row>
    <row r="572" spans="2:5" ht="15.95" customHeight="1">
      <c r="B572" s="35"/>
      <c r="C572" s="24"/>
      <c r="D572" s="35"/>
      <c r="E572" s="24"/>
    </row>
    <row r="573" spans="2:5" ht="15.95" customHeight="1">
      <c r="B573" s="35"/>
      <c r="C573" s="24"/>
      <c r="D573" s="35"/>
      <c r="E573" s="24"/>
    </row>
    <row r="574" spans="2:5" ht="15.95" customHeight="1">
      <c r="B574" s="35"/>
      <c r="C574" s="24"/>
      <c r="D574" s="35"/>
      <c r="E574" s="24"/>
    </row>
    <row r="575" spans="2:5" ht="15.95" customHeight="1">
      <c r="B575" s="35"/>
      <c r="C575" s="24"/>
      <c r="D575" s="35"/>
      <c r="E575" s="24"/>
    </row>
    <row r="576" spans="2:5" ht="15.95" customHeight="1">
      <c r="B576" s="35"/>
      <c r="C576" s="24"/>
      <c r="D576" s="35"/>
      <c r="E576" s="24"/>
    </row>
    <row r="577" spans="2:5" ht="15.95" customHeight="1">
      <c r="B577" s="35"/>
      <c r="C577" s="24"/>
      <c r="D577" s="35"/>
      <c r="E577" s="24"/>
    </row>
    <row r="578" spans="2:5" ht="15.95" customHeight="1">
      <c r="B578" s="35"/>
      <c r="C578" s="24"/>
      <c r="D578" s="35"/>
      <c r="E578" s="24"/>
    </row>
  </sheetData>
  <mergeCells count="145">
    <mergeCell ref="G56:I56"/>
    <mergeCell ref="H57:H58"/>
    <mergeCell ref="L56:N56"/>
    <mergeCell ref="C56:E56"/>
    <mergeCell ref="D57:D58"/>
    <mergeCell ref="L57:L58"/>
    <mergeCell ref="P57:P58"/>
    <mergeCell ref="P56:R56"/>
    <mergeCell ref="Q57:Q58"/>
    <mergeCell ref="M57:M58"/>
    <mergeCell ref="EY211:FH211"/>
    <mergeCell ref="FJ211:FS211"/>
    <mergeCell ref="B90:S121"/>
    <mergeCell ref="AS211:BB211"/>
    <mergeCell ref="BD211:BM211"/>
    <mergeCell ref="BO211:BX211"/>
    <mergeCell ref="BZ211:CI211"/>
    <mergeCell ref="AH210:AH212"/>
    <mergeCell ref="AJ210:AJ212"/>
    <mergeCell ref="AE210:AE212"/>
    <mergeCell ref="AL210:AL212"/>
    <mergeCell ref="AF210:AF212"/>
    <mergeCell ref="AG210:AG212"/>
    <mergeCell ref="EN211:EW211"/>
    <mergeCell ref="CK211:CT211"/>
    <mergeCell ref="CV211:DE211"/>
    <mergeCell ref="DG211:DP211"/>
    <mergeCell ref="DR211:EA211"/>
    <mergeCell ref="EC211:EL211"/>
    <mergeCell ref="AM210:AM212"/>
    <mergeCell ref="P13:Q13"/>
    <mergeCell ref="P14:Q14"/>
    <mergeCell ref="R13:S13"/>
    <mergeCell ref="R14:S14"/>
    <mergeCell ref="P15:Q15"/>
    <mergeCell ref="R15:S15"/>
    <mergeCell ref="A1:T3"/>
    <mergeCell ref="F13:G14"/>
    <mergeCell ref="F15:G16"/>
    <mergeCell ref="P12:S12"/>
    <mergeCell ref="D15:E16"/>
    <mergeCell ref="J13:K14"/>
    <mergeCell ref="P16:Q16"/>
    <mergeCell ref="R16:S16"/>
    <mergeCell ref="C7:R7"/>
    <mergeCell ref="C8:F9"/>
    <mergeCell ref="G8:J9"/>
    <mergeCell ref="K8:N9"/>
    <mergeCell ref="O8:R9"/>
    <mergeCell ref="B5:S5"/>
    <mergeCell ref="L13:M14"/>
    <mergeCell ref="B12:M12"/>
    <mergeCell ref="L15:M16"/>
    <mergeCell ref="F22:F23"/>
    <mergeCell ref="G22:G23"/>
    <mergeCell ref="H22:H23"/>
    <mergeCell ref="I22:I23"/>
    <mergeCell ref="J22:J23"/>
    <mergeCell ref="K22:K23"/>
    <mergeCell ref="H20:H21"/>
    <mergeCell ref="P20:Q20"/>
    <mergeCell ref="F20:F21"/>
    <mergeCell ref="G20:G21"/>
    <mergeCell ref="D45:Q46"/>
    <mergeCell ref="P48:Q48"/>
    <mergeCell ref="H18:I18"/>
    <mergeCell ref="J17:K17"/>
    <mergeCell ref="AK210:AK212"/>
    <mergeCell ref="D22:D23"/>
    <mergeCell ref="B22:B23"/>
    <mergeCell ref="B26:S26"/>
    <mergeCell ref="L22:L23"/>
    <mergeCell ref="M22:M23"/>
    <mergeCell ref="P21:Q22"/>
    <mergeCell ref="P23:Q24"/>
    <mergeCell ref="I20:I21"/>
    <mergeCell ref="AI210:AI212"/>
    <mergeCell ref="AF209:AM209"/>
    <mergeCell ref="F50:G52"/>
    <mergeCell ref="H50:I52"/>
    <mergeCell ref="H49:I49"/>
    <mergeCell ref="J49:K49"/>
    <mergeCell ref="J50:K52"/>
    <mergeCell ref="P19:S19"/>
    <mergeCell ref="R20:S20"/>
    <mergeCell ref="R21:S22"/>
    <mergeCell ref="R23:S24"/>
    <mergeCell ref="N50:O52"/>
    <mergeCell ref="AB210:AB212"/>
    <mergeCell ref="AD210:AD212"/>
    <mergeCell ref="AA210:AA212"/>
    <mergeCell ref="Z210:Z212"/>
    <mergeCell ref="AC210:AC212"/>
    <mergeCell ref="Z209:AE209"/>
    <mergeCell ref="X210:X212"/>
    <mergeCell ref="Y210:Y212"/>
    <mergeCell ref="P50:Q52"/>
    <mergeCell ref="L17:M17"/>
    <mergeCell ref="C22:C23"/>
    <mergeCell ref="H13:I14"/>
    <mergeCell ref="B19:M19"/>
    <mergeCell ref="J20:J21"/>
    <mergeCell ref="K20:K21"/>
    <mergeCell ref="D13:E14"/>
    <mergeCell ref="B13:C14"/>
    <mergeCell ref="B15:C16"/>
    <mergeCell ref="H15:I16"/>
    <mergeCell ref="J15:K16"/>
    <mergeCell ref="L20:L21"/>
    <mergeCell ref="M20:M21"/>
    <mergeCell ref="C20:C21"/>
    <mergeCell ref="D20:D21"/>
    <mergeCell ref="B20:B21"/>
    <mergeCell ref="B17:C17"/>
    <mergeCell ref="D17:E17"/>
    <mergeCell ref="F17:G17"/>
    <mergeCell ref="F18:G18"/>
    <mergeCell ref="H17:I17"/>
    <mergeCell ref="J18:K18"/>
    <mergeCell ref="E22:E23"/>
    <mergeCell ref="E20:E21"/>
    <mergeCell ref="M308:N308"/>
    <mergeCell ref="J308:K308"/>
    <mergeCell ref="B88:S89"/>
    <mergeCell ref="F307:F309"/>
    <mergeCell ref="G307:G309"/>
    <mergeCell ref="H307:H309"/>
    <mergeCell ref="L47:Q47"/>
    <mergeCell ref="L50:M52"/>
    <mergeCell ref="P49:Q49"/>
    <mergeCell ref="N49:O49"/>
    <mergeCell ref="L49:M49"/>
    <mergeCell ref="F48:G48"/>
    <mergeCell ref="F47:K47"/>
    <mergeCell ref="L48:M48"/>
    <mergeCell ref="N48:O48"/>
    <mergeCell ref="B307:B309"/>
    <mergeCell ref="C307:C309"/>
    <mergeCell ref="D307:D309"/>
    <mergeCell ref="E307:E309"/>
    <mergeCell ref="B306:H306"/>
    <mergeCell ref="D47:E48"/>
    <mergeCell ref="H48:I48"/>
    <mergeCell ref="J48:K48"/>
    <mergeCell ref="D50:E52"/>
  </mergeCells>
  <conditionalFormatting sqref="B27">
    <cfRule type="expression" dxfId="200" priority="233">
      <formula>$B$28&gt;0</formula>
    </cfRule>
  </conditionalFormatting>
  <conditionalFormatting sqref="B28">
    <cfRule type="expression" dxfId="199" priority="228">
      <formula>$B$28&gt;0</formula>
    </cfRule>
  </conditionalFormatting>
  <conditionalFormatting sqref="B29">
    <cfRule type="expression" dxfId="198" priority="232">
      <formula>$B$30&gt;0</formula>
    </cfRule>
  </conditionalFormatting>
  <conditionalFormatting sqref="B30">
    <cfRule type="expression" dxfId="197" priority="227">
      <formula>$B$30&gt;0</formula>
    </cfRule>
  </conditionalFormatting>
  <conditionalFormatting sqref="B31">
    <cfRule type="expression" dxfId="196" priority="226">
      <formula>$B$32&gt;0</formula>
    </cfRule>
  </conditionalFormatting>
  <conditionalFormatting sqref="B32">
    <cfRule type="expression" dxfId="195" priority="225">
      <formula>$B$32&gt;0</formula>
    </cfRule>
  </conditionalFormatting>
  <conditionalFormatting sqref="B33">
    <cfRule type="expression" dxfId="194" priority="224">
      <formula>$B$34&gt;0</formula>
    </cfRule>
  </conditionalFormatting>
  <conditionalFormatting sqref="B34">
    <cfRule type="expression" dxfId="193" priority="223">
      <formula>$B$34&gt;0</formula>
    </cfRule>
  </conditionalFormatting>
  <conditionalFormatting sqref="B35">
    <cfRule type="expression" dxfId="192" priority="222">
      <formula>$B$36&gt;0</formula>
    </cfRule>
  </conditionalFormatting>
  <conditionalFormatting sqref="B36">
    <cfRule type="expression" dxfId="191" priority="221">
      <formula>$B$36&gt;0</formula>
    </cfRule>
  </conditionalFormatting>
  <conditionalFormatting sqref="B37">
    <cfRule type="expression" dxfId="190" priority="220">
      <formula>$B$38&gt;0</formula>
    </cfRule>
  </conditionalFormatting>
  <conditionalFormatting sqref="B38">
    <cfRule type="expression" dxfId="189" priority="219">
      <formula>$B$38&gt;0</formula>
    </cfRule>
  </conditionalFormatting>
  <conditionalFormatting sqref="B39">
    <cfRule type="expression" dxfId="188" priority="218">
      <formula>$B$40&gt;0</formula>
    </cfRule>
  </conditionalFormatting>
  <conditionalFormatting sqref="B40">
    <cfRule type="expression" dxfId="187" priority="217">
      <formula>$B$40&gt;0</formula>
    </cfRule>
  </conditionalFormatting>
  <conditionalFormatting sqref="B15:C16">
    <cfRule type="expression" dxfId="186" priority="48">
      <formula>$B$15&gt;20</formula>
    </cfRule>
    <cfRule type="expression" dxfId="185" priority="49">
      <formula>$B$15&lt;3</formula>
    </cfRule>
  </conditionalFormatting>
  <conditionalFormatting sqref="B17:C17">
    <cfRule type="expression" dxfId="184" priority="51">
      <formula>$B$15&lt;3</formula>
    </cfRule>
    <cfRule type="expression" dxfId="183" priority="50">
      <formula>$B$15&gt;20</formula>
    </cfRule>
  </conditionalFormatting>
  <conditionalFormatting sqref="C29">
    <cfRule type="expression" dxfId="182" priority="230">
      <formula>$C$30&gt;0</formula>
    </cfRule>
  </conditionalFormatting>
  <conditionalFormatting sqref="C30">
    <cfRule type="expression" dxfId="181" priority="216">
      <formula>$C$30&gt;0</formula>
    </cfRule>
  </conditionalFormatting>
  <conditionalFormatting sqref="C31">
    <cfRule type="expression" dxfId="180" priority="215">
      <formula>$C$32&gt;0</formula>
    </cfRule>
  </conditionalFormatting>
  <conditionalFormatting sqref="C32">
    <cfRule type="expression" dxfId="179" priority="214">
      <formula>$C$32&gt;0</formula>
    </cfRule>
  </conditionalFormatting>
  <conditionalFormatting sqref="C33">
    <cfRule type="expression" dxfId="178" priority="213">
      <formula>$C$34&gt;0</formula>
    </cfRule>
  </conditionalFormatting>
  <conditionalFormatting sqref="C34">
    <cfRule type="expression" dxfId="177" priority="212">
      <formula>$C$34&gt;0</formula>
    </cfRule>
  </conditionalFormatting>
  <conditionalFormatting sqref="C35">
    <cfRule type="expression" dxfId="176" priority="211">
      <formula>$C$36&gt;0</formula>
    </cfRule>
  </conditionalFormatting>
  <conditionalFormatting sqref="C36">
    <cfRule type="expression" dxfId="175" priority="210">
      <formula>$C$36&gt;0</formula>
    </cfRule>
  </conditionalFormatting>
  <conditionalFormatting sqref="C37">
    <cfRule type="expression" dxfId="174" priority="209">
      <formula>$C$38&gt;0</formula>
    </cfRule>
  </conditionalFormatting>
  <conditionalFormatting sqref="C38">
    <cfRule type="expression" dxfId="173" priority="208">
      <formula>$C$38&gt;0</formula>
    </cfRule>
  </conditionalFormatting>
  <conditionalFormatting sqref="D33">
    <cfRule type="expression" dxfId="172" priority="207">
      <formula>$D$34&gt;0</formula>
    </cfRule>
  </conditionalFormatting>
  <conditionalFormatting sqref="D34">
    <cfRule type="expression" dxfId="171" priority="206">
      <formula>$D$34&gt;0</formula>
    </cfRule>
  </conditionalFormatting>
  <conditionalFormatting sqref="D35">
    <cfRule type="expression" dxfId="170" priority="205">
      <formula>$D$36&gt;0</formula>
    </cfRule>
  </conditionalFormatting>
  <conditionalFormatting sqref="D36">
    <cfRule type="expression" dxfId="169" priority="204">
      <formula>$D$36&gt;0</formula>
    </cfRule>
  </conditionalFormatting>
  <conditionalFormatting sqref="D37">
    <cfRule type="expression" dxfId="168" priority="203">
      <formula>$D$38&gt;0</formula>
    </cfRule>
  </conditionalFormatting>
  <conditionalFormatting sqref="D38">
    <cfRule type="expression" dxfId="167" priority="202">
      <formula>$D$38&gt;0</formula>
    </cfRule>
  </conditionalFormatting>
  <conditionalFormatting sqref="D41">
    <cfRule type="expression" dxfId="166" priority="88">
      <formula>$D$42&gt;0</formula>
    </cfRule>
  </conditionalFormatting>
  <conditionalFormatting sqref="D42">
    <cfRule type="expression" dxfId="165" priority="87">
      <formula>$D$42&gt;0</formula>
    </cfRule>
  </conditionalFormatting>
  <conditionalFormatting sqref="D15:E16">
    <cfRule type="expression" dxfId="164" priority="42">
      <formula>$D$15&gt;=1</formula>
    </cfRule>
    <cfRule type="expression" dxfId="163" priority="43">
      <formula>$D$15&lt;=0</formula>
    </cfRule>
  </conditionalFormatting>
  <conditionalFormatting sqref="D17:E17">
    <cfRule type="expression" dxfId="162" priority="45">
      <formula>$D$15&lt;=0</formula>
    </cfRule>
    <cfRule type="expression" dxfId="161" priority="44">
      <formula>$D$15&gt;=1</formula>
    </cfRule>
  </conditionalFormatting>
  <conditionalFormatting sqref="E33">
    <cfRule type="expression" dxfId="160" priority="201">
      <formula>$E$34&gt;0</formula>
    </cfRule>
  </conditionalFormatting>
  <conditionalFormatting sqref="E34">
    <cfRule type="expression" dxfId="159" priority="200">
      <formula>$E$34&gt;0</formula>
    </cfRule>
  </conditionalFormatting>
  <conditionalFormatting sqref="E35">
    <cfRule type="expression" dxfId="158" priority="199">
      <formula>$E$36&gt;0</formula>
    </cfRule>
  </conditionalFormatting>
  <conditionalFormatting sqref="E36">
    <cfRule type="expression" dxfId="157" priority="198">
      <formula>$E$36&gt;0</formula>
    </cfRule>
  </conditionalFormatting>
  <conditionalFormatting sqref="E37">
    <cfRule type="expression" dxfId="156" priority="197">
      <formula>$E$38&gt;0</formula>
    </cfRule>
  </conditionalFormatting>
  <conditionalFormatting sqref="E38">
    <cfRule type="expression" dxfId="155" priority="196">
      <formula>$E$38&gt;0</formula>
    </cfRule>
  </conditionalFormatting>
  <conditionalFormatting sqref="E41">
    <cfRule type="expression" dxfId="154" priority="86">
      <formula>$E$42&gt;0</formula>
    </cfRule>
  </conditionalFormatting>
  <conditionalFormatting sqref="E42">
    <cfRule type="expression" dxfId="153" priority="85">
      <formula>$E$42&gt;0</formula>
    </cfRule>
  </conditionalFormatting>
  <conditionalFormatting sqref="F33">
    <cfRule type="expression" dxfId="152" priority="195">
      <formula>$F$34&gt;0</formula>
    </cfRule>
  </conditionalFormatting>
  <conditionalFormatting sqref="F34">
    <cfRule type="expression" dxfId="151" priority="194">
      <formula>$F$34&gt;0</formula>
    </cfRule>
  </conditionalFormatting>
  <conditionalFormatting sqref="F35">
    <cfRule type="expression" dxfId="150" priority="193">
      <formula>$F$36&gt;0</formula>
    </cfRule>
  </conditionalFormatting>
  <conditionalFormatting sqref="F36">
    <cfRule type="expression" dxfId="149" priority="192">
      <formula>$F$36&gt;0</formula>
    </cfRule>
  </conditionalFormatting>
  <conditionalFormatting sqref="F37">
    <cfRule type="expression" dxfId="148" priority="191">
      <formula>$F$38&gt;0</formula>
    </cfRule>
  </conditionalFormatting>
  <conditionalFormatting sqref="F38">
    <cfRule type="expression" dxfId="147" priority="190">
      <formula>$F$38&gt;0</formula>
    </cfRule>
  </conditionalFormatting>
  <conditionalFormatting sqref="F41">
    <cfRule type="expression" dxfId="146" priority="84">
      <formula>$F$42&gt;0</formula>
    </cfRule>
  </conditionalFormatting>
  <conditionalFormatting sqref="F42">
    <cfRule type="expression" dxfId="145" priority="83">
      <formula>$F$42&gt;0</formula>
    </cfRule>
  </conditionalFormatting>
  <conditionalFormatting sqref="F15:G16">
    <cfRule type="expression" dxfId="144" priority="37">
      <formula>$F$15&lt;=0</formula>
    </cfRule>
    <cfRule type="expression" dxfId="143" priority="32">
      <formula>$H$15-$F$15&lt;0</formula>
    </cfRule>
  </conditionalFormatting>
  <conditionalFormatting sqref="F17:G17">
    <cfRule type="expression" dxfId="142" priority="25">
      <formula>$F$15&lt;=0</formula>
    </cfRule>
  </conditionalFormatting>
  <conditionalFormatting sqref="F18:G18">
    <cfRule type="expression" dxfId="141" priority="33">
      <formula>$H$15-$F$15&lt;0</formula>
    </cfRule>
  </conditionalFormatting>
  <conditionalFormatting sqref="G33">
    <cfRule type="expression" dxfId="140" priority="189">
      <formula>$G$34&gt;0</formula>
    </cfRule>
  </conditionalFormatting>
  <conditionalFormatting sqref="G34">
    <cfRule type="expression" dxfId="139" priority="188">
      <formula>$G$34&gt;0</formula>
    </cfRule>
  </conditionalFormatting>
  <conditionalFormatting sqref="G35">
    <cfRule type="expression" dxfId="138" priority="187">
      <formula>$G$36&gt;0</formula>
    </cfRule>
  </conditionalFormatting>
  <conditionalFormatting sqref="G36">
    <cfRule type="expression" dxfId="137" priority="186">
      <formula>$G$36&gt;0</formula>
    </cfRule>
  </conditionalFormatting>
  <conditionalFormatting sqref="G37">
    <cfRule type="expression" dxfId="136" priority="185">
      <formula>$G$38&gt;0</formula>
    </cfRule>
  </conditionalFormatting>
  <conditionalFormatting sqref="G38">
    <cfRule type="expression" dxfId="135" priority="184">
      <formula>$G$38&gt;0</formula>
    </cfRule>
  </conditionalFormatting>
  <conditionalFormatting sqref="G41">
    <cfRule type="expression" dxfId="134" priority="82">
      <formula>$G$42&gt;0</formula>
    </cfRule>
  </conditionalFormatting>
  <conditionalFormatting sqref="G42">
    <cfRule type="expression" dxfId="133" priority="81">
      <formula>$G$42&gt;0</formula>
    </cfRule>
  </conditionalFormatting>
  <conditionalFormatting sqref="H33">
    <cfRule type="expression" dxfId="132" priority="183">
      <formula>$H$34&gt;0</formula>
    </cfRule>
  </conditionalFormatting>
  <conditionalFormatting sqref="H34">
    <cfRule type="expression" dxfId="131" priority="182">
      <formula>$H$34&gt;0</formula>
    </cfRule>
  </conditionalFormatting>
  <conditionalFormatting sqref="H37">
    <cfRule type="expression" dxfId="130" priority="181">
      <formula>$H$38&gt;0</formula>
    </cfRule>
  </conditionalFormatting>
  <conditionalFormatting sqref="H38">
    <cfRule type="expression" dxfId="129" priority="180">
      <formula>$H$38&gt;0</formula>
    </cfRule>
  </conditionalFormatting>
  <conditionalFormatting sqref="H41">
    <cfRule type="expression" dxfId="128" priority="80">
      <formula>$H$42&gt;0</formula>
    </cfRule>
  </conditionalFormatting>
  <conditionalFormatting sqref="H42">
    <cfRule type="expression" dxfId="127" priority="79">
      <formula>$H$42&gt;0</formula>
    </cfRule>
  </conditionalFormatting>
  <conditionalFormatting sqref="H15:I16">
    <cfRule type="expression" dxfId="126" priority="29">
      <formula>$H$15&lt;=0</formula>
    </cfRule>
    <cfRule type="expression" dxfId="125" priority="17">
      <formula>$H$15&gt;=$J$15</formula>
    </cfRule>
  </conditionalFormatting>
  <conditionalFormatting sqref="H17:I17">
    <cfRule type="expression" dxfId="124" priority="22">
      <formula>$H$15&lt;=0</formula>
    </cfRule>
  </conditionalFormatting>
  <conditionalFormatting sqref="H18:I18">
    <cfRule type="expression" dxfId="123" priority="20">
      <formula>$H$15&gt;=$J$15</formula>
    </cfRule>
  </conditionalFormatting>
  <conditionalFormatting sqref="I33">
    <cfRule type="expression" dxfId="122" priority="179">
      <formula>$I$34&gt;0</formula>
    </cfRule>
  </conditionalFormatting>
  <conditionalFormatting sqref="I34">
    <cfRule type="expression" dxfId="121" priority="178">
      <formula>$I$34&gt;0</formula>
    </cfRule>
  </conditionalFormatting>
  <conditionalFormatting sqref="I35">
    <cfRule type="expression" dxfId="120" priority="177">
      <formula>$I$36&gt;0</formula>
    </cfRule>
  </conditionalFormatting>
  <conditionalFormatting sqref="I36">
    <cfRule type="expression" dxfId="119" priority="176">
      <formula>$I$36&gt;0</formula>
    </cfRule>
  </conditionalFormatting>
  <conditionalFormatting sqref="I37">
    <cfRule type="expression" dxfId="118" priority="175">
      <formula>$I$38&gt;0</formula>
    </cfRule>
  </conditionalFormatting>
  <conditionalFormatting sqref="I38">
    <cfRule type="expression" dxfId="117" priority="174">
      <formula>$I$38&gt;0</formula>
    </cfRule>
  </conditionalFormatting>
  <conditionalFormatting sqref="I41">
    <cfRule type="expression" dxfId="116" priority="78">
      <formula>$I$42&gt;0</formula>
    </cfRule>
  </conditionalFormatting>
  <conditionalFormatting sqref="I42">
    <cfRule type="expression" dxfId="115" priority="77">
      <formula>$I$42&gt;0</formula>
    </cfRule>
  </conditionalFormatting>
  <conditionalFormatting sqref="J33">
    <cfRule type="expression" dxfId="114" priority="173">
      <formula>$J$34&gt;0</formula>
    </cfRule>
  </conditionalFormatting>
  <conditionalFormatting sqref="J34">
    <cfRule type="expression" dxfId="113" priority="172">
      <formula>$J$34&gt;0</formula>
    </cfRule>
  </conditionalFormatting>
  <conditionalFormatting sqref="J35">
    <cfRule type="expression" dxfId="112" priority="171">
      <formula>$J$36&gt;0</formula>
    </cfRule>
  </conditionalFormatting>
  <conditionalFormatting sqref="J36">
    <cfRule type="expression" dxfId="111" priority="170">
      <formula>$J$36&gt;0</formula>
    </cfRule>
  </conditionalFormatting>
  <conditionalFormatting sqref="J37">
    <cfRule type="expression" dxfId="110" priority="169">
      <formula>$J$38&gt;0</formula>
    </cfRule>
  </conditionalFormatting>
  <conditionalFormatting sqref="J38">
    <cfRule type="expression" dxfId="109" priority="168">
      <formula>$J$38&gt;0</formula>
    </cfRule>
  </conditionalFormatting>
  <conditionalFormatting sqref="J41">
    <cfRule type="expression" dxfId="108" priority="76">
      <formula>$J$42&gt;0</formula>
    </cfRule>
  </conditionalFormatting>
  <conditionalFormatting sqref="J42">
    <cfRule type="expression" dxfId="107" priority="75">
      <formula>$J$42&gt;0</formula>
    </cfRule>
  </conditionalFormatting>
  <conditionalFormatting sqref="J15:K16">
    <cfRule type="expression" dxfId="106" priority="15">
      <formula>$J$15&gt;=180</formula>
    </cfRule>
    <cfRule type="expression" dxfId="105" priority="16">
      <formula>$J$15&lt;=$H$15</formula>
    </cfRule>
  </conditionalFormatting>
  <conditionalFormatting sqref="J17:K17">
    <cfRule type="expression" dxfId="104" priority="18">
      <formula>$J$15&gt;=180</formula>
    </cfRule>
  </conditionalFormatting>
  <conditionalFormatting sqref="J18:K18">
    <cfRule type="expression" dxfId="103" priority="27">
      <formula>$J$15&lt;=$H$15</formula>
    </cfRule>
  </conditionalFormatting>
  <conditionalFormatting sqref="K22:K23">
    <cfRule type="expression" dxfId="102" priority="11">
      <formula>$K$22&gt;1</formula>
    </cfRule>
    <cfRule type="expression" dxfId="101" priority="12">
      <formula>$K$22&lt;=0</formula>
    </cfRule>
  </conditionalFormatting>
  <conditionalFormatting sqref="K24">
    <cfRule type="expression" dxfId="100" priority="14">
      <formula>$K$22&lt;=0</formula>
    </cfRule>
    <cfRule type="expression" dxfId="99" priority="13">
      <formula>$K$22&gt;1</formula>
    </cfRule>
  </conditionalFormatting>
  <conditionalFormatting sqref="K33">
    <cfRule type="expression" dxfId="98" priority="167">
      <formula>$K$34&gt;0</formula>
    </cfRule>
  </conditionalFormatting>
  <conditionalFormatting sqref="K34">
    <cfRule type="expression" dxfId="97" priority="166">
      <formula>$K$34&gt;0</formula>
    </cfRule>
  </conditionalFormatting>
  <conditionalFormatting sqref="K35">
    <cfRule type="expression" dxfId="96" priority="165">
      <formula>$K$36&gt;0</formula>
    </cfRule>
  </conditionalFormatting>
  <conditionalFormatting sqref="K36">
    <cfRule type="expression" dxfId="95" priority="164">
      <formula>$K$36&gt;0</formula>
    </cfRule>
  </conditionalFormatting>
  <conditionalFormatting sqref="K37">
    <cfRule type="expression" dxfId="94" priority="163">
      <formula>$K$38&gt;0</formula>
    </cfRule>
  </conditionalFormatting>
  <conditionalFormatting sqref="K38">
    <cfRule type="expression" dxfId="93" priority="162">
      <formula>$K$38&gt;0</formula>
    </cfRule>
  </conditionalFormatting>
  <conditionalFormatting sqref="K41">
    <cfRule type="expression" dxfId="92" priority="74">
      <formula>$K$42&gt;0</formula>
    </cfRule>
  </conditionalFormatting>
  <conditionalFormatting sqref="K42">
    <cfRule type="expression" dxfId="91" priority="73">
      <formula>$K$42&gt;0</formula>
    </cfRule>
  </conditionalFormatting>
  <conditionalFormatting sqref="L33">
    <cfRule type="expression" dxfId="90" priority="161">
      <formula>$L$34&gt;0</formula>
    </cfRule>
  </conditionalFormatting>
  <conditionalFormatting sqref="L34">
    <cfRule type="expression" dxfId="89" priority="160">
      <formula>$L$34&gt;0</formula>
    </cfRule>
  </conditionalFormatting>
  <conditionalFormatting sqref="L35">
    <cfRule type="expression" dxfId="88" priority="159">
      <formula>$L$36&gt;0</formula>
    </cfRule>
  </conditionalFormatting>
  <conditionalFormatting sqref="L36">
    <cfRule type="expression" dxfId="87" priority="158">
      <formula>$L$36&gt;0</formula>
    </cfRule>
  </conditionalFormatting>
  <conditionalFormatting sqref="L37">
    <cfRule type="expression" dxfId="86" priority="157">
      <formula>$L$38&gt;0</formula>
    </cfRule>
  </conditionalFormatting>
  <conditionalFormatting sqref="L38">
    <cfRule type="expression" dxfId="85" priority="156">
      <formula>$L$38&gt;0</formula>
    </cfRule>
  </conditionalFormatting>
  <conditionalFormatting sqref="L41">
    <cfRule type="expression" dxfId="84" priority="72">
      <formula>$L$42&gt;0</formula>
    </cfRule>
  </conditionalFormatting>
  <conditionalFormatting sqref="L42">
    <cfRule type="expression" dxfId="83" priority="70">
      <formula>$L$42&gt;0</formula>
    </cfRule>
  </conditionalFormatting>
  <conditionalFormatting sqref="L15:M16">
    <cfRule type="expression" dxfId="82" priority="1">
      <formula>$L$15&gt;=100</formula>
    </cfRule>
    <cfRule type="expression" dxfId="81" priority="2">
      <formula>$L$15&lt;=0</formula>
    </cfRule>
  </conditionalFormatting>
  <conditionalFormatting sqref="L17:M17">
    <cfRule type="expression" dxfId="80" priority="7">
      <formula>$L$15&gt;=100</formula>
    </cfRule>
    <cfRule type="expression" dxfId="79" priority="8">
      <formula>$L$15&lt;=0</formula>
    </cfRule>
  </conditionalFormatting>
  <conditionalFormatting sqref="M33">
    <cfRule type="expression" dxfId="78" priority="155">
      <formula>$M$34&gt;0</formula>
    </cfRule>
  </conditionalFormatting>
  <conditionalFormatting sqref="M34">
    <cfRule type="expression" dxfId="77" priority="154">
      <formula>$M$34&gt;0</formula>
    </cfRule>
  </conditionalFormatting>
  <conditionalFormatting sqref="M35">
    <cfRule type="expression" dxfId="76" priority="153">
      <formula>$M$36&gt;0</formula>
    </cfRule>
  </conditionalFormatting>
  <conditionalFormatting sqref="M36">
    <cfRule type="expression" dxfId="75" priority="152">
      <formula>$M$36&gt;0</formula>
    </cfRule>
  </conditionalFormatting>
  <conditionalFormatting sqref="M37">
    <cfRule type="expression" dxfId="74" priority="151">
      <formula>$M$38&gt;0</formula>
    </cfRule>
  </conditionalFormatting>
  <conditionalFormatting sqref="M38">
    <cfRule type="expression" dxfId="73" priority="150">
      <formula>$M$38&gt;0</formula>
    </cfRule>
  </conditionalFormatting>
  <conditionalFormatting sqref="M41">
    <cfRule type="expression" dxfId="72" priority="69">
      <formula>$M$42&gt;0</formula>
    </cfRule>
  </conditionalFormatting>
  <conditionalFormatting sqref="M42">
    <cfRule type="expression" dxfId="71" priority="68">
      <formula>$M$42&gt;0</formula>
    </cfRule>
  </conditionalFormatting>
  <conditionalFormatting sqref="N29">
    <cfRule type="expression" dxfId="70" priority="149">
      <formula>$N$30&gt;0</formula>
    </cfRule>
  </conditionalFormatting>
  <conditionalFormatting sqref="N30">
    <cfRule type="expression" dxfId="69" priority="148">
      <formula>$N$30&gt;0</formula>
    </cfRule>
  </conditionalFormatting>
  <conditionalFormatting sqref="N31">
    <cfRule type="expression" dxfId="68" priority="147">
      <formula>$N$32&gt;0</formula>
    </cfRule>
  </conditionalFormatting>
  <conditionalFormatting sqref="N32">
    <cfRule type="expression" dxfId="67" priority="146">
      <formula>$N$32&gt;0</formula>
    </cfRule>
  </conditionalFormatting>
  <conditionalFormatting sqref="N33">
    <cfRule type="expression" dxfId="66" priority="145">
      <formula>$N$34&gt;0</formula>
    </cfRule>
  </conditionalFormatting>
  <conditionalFormatting sqref="N34">
    <cfRule type="expression" dxfId="65" priority="144">
      <formula>$N$34&gt;0</formula>
    </cfRule>
  </conditionalFormatting>
  <conditionalFormatting sqref="N35">
    <cfRule type="expression" dxfId="64" priority="143">
      <formula>$N$36&gt;0</formula>
    </cfRule>
  </conditionalFormatting>
  <conditionalFormatting sqref="N36">
    <cfRule type="expression" dxfId="63" priority="142">
      <formula>$N$36&gt;0</formula>
    </cfRule>
  </conditionalFormatting>
  <conditionalFormatting sqref="N37">
    <cfRule type="expression" dxfId="62" priority="141">
      <formula>$N$38&gt;0</formula>
    </cfRule>
  </conditionalFormatting>
  <conditionalFormatting sqref="N38">
    <cfRule type="expression" dxfId="61" priority="140">
      <formula>$N$38&gt;0</formula>
    </cfRule>
  </conditionalFormatting>
  <conditionalFormatting sqref="N41">
    <cfRule type="expression" dxfId="60" priority="67">
      <formula>$N$42&gt;0</formula>
    </cfRule>
  </conditionalFormatting>
  <conditionalFormatting sqref="N42">
    <cfRule type="expression" dxfId="59" priority="66">
      <formula>$N$42&gt;0</formula>
    </cfRule>
  </conditionalFormatting>
  <conditionalFormatting sqref="O29">
    <cfRule type="expression" dxfId="58" priority="139">
      <formula>$O$30&gt;0</formula>
    </cfRule>
  </conditionalFormatting>
  <conditionalFormatting sqref="O30">
    <cfRule type="expression" dxfId="57" priority="138">
      <formula>$O$30&gt;0</formula>
    </cfRule>
  </conditionalFormatting>
  <conditionalFormatting sqref="O31">
    <cfRule type="expression" dxfId="56" priority="137">
      <formula>$O$32&gt;0</formula>
    </cfRule>
  </conditionalFormatting>
  <conditionalFormatting sqref="O32">
    <cfRule type="expression" dxfId="55" priority="136">
      <formula>$O$32&gt;0</formula>
    </cfRule>
  </conditionalFormatting>
  <conditionalFormatting sqref="O33">
    <cfRule type="expression" dxfId="54" priority="135">
      <formula>$O$34&gt;0</formula>
    </cfRule>
  </conditionalFormatting>
  <conditionalFormatting sqref="O34">
    <cfRule type="expression" dxfId="53" priority="134">
      <formula>$O$34&gt;0</formula>
    </cfRule>
  </conditionalFormatting>
  <conditionalFormatting sqref="O35">
    <cfRule type="expression" dxfId="52" priority="133">
      <formula>$O$36&gt;0</formula>
    </cfRule>
  </conditionalFormatting>
  <conditionalFormatting sqref="O36">
    <cfRule type="expression" dxfId="51" priority="132">
      <formula>$O$36&gt;0</formula>
    </cfRule>
  </conditionalFormatting>
  <conditionalFormatting sqref="O37">
    <cfRule type="expression" dxfId="50" priority="131">
      <formula>$O$38&gt;0</formula>
    </cfRule>
  </conditionalFormatting>
  <conditionalFormatting sqref="O38">
    <cfRule type="expression" dxfId="49" priority="130">
      <formula>$O$38&gt;0</formula>
    </cfRule>
  </conditionalFormatting>
  <conditionalFormatting sqref="O41">
    <cfRule type="expression" dxfId="48" priority="65">
      <formula>$O$42&gt;0</formula>
    </cfRule>
  </conditionalFormatting>
  <conditionalFormatting sqref="O42">
    <cfRule type="expression" dxfId="47" priority="64">
      <formula>$O$42&gt;0</formula>
    </cfRule>
  </conditionalFormatting>
  <conditionalFormatting sqref="O213:O223">
    <cfRule type="expression" dxfId="46" priority="343">
      <formula>Q213&gt;0</formula>
    </cfRule>
  </conditionalFormatting>
  <conditionalFormatting sqref="O224:O295">
    <cfRule type="expression" dxfId="45" priority="6">
      <formula>Q224&gt;0</formula>
    </cfRule>
  </conditionalFormatting>
  <conditionalFormatting sqref="P29">
    <cfRule type="expression" dxfId="44" priority="129">
      <formula>$P$30&gt;0</formula>
    </cfRule>
  </conditionalFormatting>
  <conditionalFormatting sqref="P30">
    <cfRule type="expression" dxfId="43" priority="128">
      <formula>$P$30&gt;0</formula>
    </cfRule>
  </conditionalFormatting>
  <conditionalFormatting sqref="P31">
    <cfRule type="expression" dxfId="42" priority="127">
      <formula>$P$32&gt;0</formula>
    </cfRule>
  </conditionalFormatting>
  <conditionalFormatting sqref="P32">
    <cfRule type="expression" dxfId="41" priority="126">
      <formula>$P$32&gt;0</formula>
    </cfRule>
  </conditionalFormatting>
  <conditionalFormatting sqref="P33">
    <cfRule type="expression" dxfId="40" priority="125">
      <formula>$P$34&gt;0</formula>
    </cfRule>
  </conditionalFormatting>
  <conditionalFormatting sqref="P34">
    <cfRule type="expression" dxfId="39" priority="124">
      <formula>$P$34&gt;0</formula>
    </cfRule>
  </conditionalFormatting>
  <conditionalFormatting sqref="P35">
    <cfRule type="expression" dxfId="38" priority="123">
      <formula>$P$36&gt;0</formula>
    </cfRule>
  </conditionalFormatting>
  <conditionalFormatting sqref="P36">
    <cfRule type="expression" dxfId="37" priority="122">
      <formula>$P$36&gt;0</formula>
    </cfRule>
  </conditionalFormatting>
  <conditionalFormatting sqref="P37">
    <cfRule type="expression" dxfId="36" priority="121">
      <formula>$P$38&gt;0</formula>
    </cfRule>
  </conditionalFormatting>
  <conditionalFormatting sqref="P38">
    <cfRule type="expression" dxfId="35" priority="120">
      <formula>$P$38&gt;0</formula>
    </cfRule>
  </conditionalFormatting>
  <conditionalFormatting sqref="P41">
    <cfRule type="expression" dxfId="34" priority="63">
      <formula>$P$42&gt;0</formula>
    </cfRule>
  </conditionalFormatting>
  <conditionalFormatting sqref="P42">
    <cfRule type="expression" dxfId="33" priority="62">
      <formula>$P$42&gt;0</formula>
    </cfRule>
  </conditionalFormatting>
  <conditionalFormatting sqref="Q29">
    <cfRule type="expression" dxfId="32" priority="119">
      <formula>$Q$30&gt;0</formula>
    </cfRule>
  </conditionalFormatting>
  <conditionalFormatting sqref="Q30">
    <cfRule type="expression" dxfId="31" priority="117">
      <formula>$Q$30&gt;0</formula>
    </cfRule>
  </conditionalFormatting>
  <conditionalFormatting sqref="Q31">
    <cfRule type="expression" dxfId="30" priority="116">
      <formula>$Q$32&gt;0</formula>
    </cfRule>
  </conditionalFormatting>
  <conditionalFormatting sqref="Q32">
    <cfRule type="expression" dxfId="29" priority="115">
      <formula>$Q$32&gt;0</formula>
    </cfRule>
  </conditionalFormatting>
  <conditionalFormatting sqref="Q33">
    <cfRule type="expression" dxfId="28" priority="114">
      <formula>$Q$34&gt;0</formula>
    </cfRule>
  </conditionalFormatting>
  <conditionalFormatting sqref="Q34">
    <cfRule type="expression" dxfId="27" priority="113">
      <formula>$Q$34&gt;0</formula>
    </cfRule>
  </conditionalFormatting>
  <conditionalFormatting sqref="Q35">
    <cfRule type="expression" dxfId="26" priority="112">
      <formula>$Q$36&gt;0</formula>
    </cfRule>
  </conditionalFormatting>
  <conditionalFormatting sqref="Q36">
    <cfRule type="expression" dxfId="25" priority="111">
      <formula>$Q$36&gt;0</formula>
    </cfRule>
  </conditionalFormatting>
  <conditionalFormatting sqref="Q37">
    <cfRule type="expression" dxfId="24" priority="110">
      <formula>$Q$38&gt;0</formula>
    </cfRule>
  </conditionalFormatting>
  <conditionalFormatting sqref="Q38">
    <cfRule type="expression" dxfId="23" priority="109">
      <formula>$Q$38&gt;0</formula>
    </cfRule>
  </conditionalFormatting>
  <conditionalFormatting sqref="Q41">
    <cfRule type="expression" dxfId="22" priority="61">
      <formula>$Q$42&gt;0</formula>
    </cfRule>
  </conditionalFormatting>
  <conditionalFormatting sqref="Q42">
    <cfRule type="expression" dxfId="21" priority="60">
      <formula>$Q$42&gt;0</formula>
    </cfRule>
  </conditionalFormatting>
  <conditionalFormatting sqref="Q213:Q295">
    <cfRule type="cellIs" dxfId="20" priority="5" operator="greaterThan">
      <formula>0</formula>
    </cfRule>
  </conditionalFormatting>
  <conditionalFormatting sqref="R29">
    <cfRule type="expression" dxfId="19" priority="108">
      <formula>$R$30&gt;0</formula>
    </cfRule>
  </conditionalFormatting>
  <conditionalFormatting sqref="R30">
    <cfRule type="expression" dxfId="18" priority="107">
      <formula>$R$30&gt;0</formula>
    </cfRule>
  </conditionalFormatting>
  <conditionalFormatting sqref="R31">
    <cfRule type="expression" dxfId="17" priority="106">
      <formula>$R$32&gt;0</formula>
    </cfRule>
  </conditionalFormatting>
  <conditionalFormatting sqref="R32">
    <cfRule type="expression" dxfId="16" priority="105">
      <formula>$R$32&gt;0</formula>
    </cfRule>
  </conditionalFormatting>
  <conditionalFormatting sqref="R33">
    <cfRule type="expression" dxfId="15" priority="104">
      <formula>$R$34&gt;0</formula>
    </cfRule>
  </conditionalFormatting>
  <conditionalFormatting sqref="R34">
    <cfRule type="expression" dxfId="14" priority="103">
      <formula>$R$34&gt;0</formula>
    </cfRule>
  </conditionalFormatting>
  <conditionalFormatting sqref="R35">
    <cfRule type="expression" dxfId="13" priority="102">
      <formula>$R$36&gt;0</formula>
    </cfRule>
  </conditionalFormatting>
  <conditionalFormatting sqref="R36">
    <cfRule type="expression" dxfId="12" priority="101">
      <formula>$R$36&gt;0</formula>
    </cfRule>
  </conditionalFormatting>
  <conditionalFormatting sqref="S27">
    <cfRule type="expression" dxfId="11" priority="100">
      <formula>$S$28&gt;0</formula>
    </cfRule>
  </conditionalFormatting>
  <conditionalFormatting sqref="S28">
    <cfRule type="expression" dxfId="10" priority="99">
      <formula>$S$28&gt;0</formula>
    </cfRule>
  </conditionalFormatting>
  <conditionalFormatting sqref="S29">
    <cfRule type="expression" dxfId="9" priority="98">
      <formula>$S$30&gt;0</formula>
    </cfRule>
  </conditionalFormatting>
  <conditionalFormatting sqref="S30">
    <cfRule type="expression" dxfId="8" priority="97">
      <formula>$S$30&gt;0</formula>
    </cfRule>
  </conditionalFormatting>
  <conditionalFormatting sqref="S31">
    <cfRule type="expression" dxfId="7" priority="96">
      <formula>$S$32&gt;0</formula>
    </cfRule>
  </conditionalFormatting>
  <conditionalFormatting sqref="S32">
    <cfRule type="expression" dxfId="6" priority="95">
      <formula>$S$32&gt;0</formula>
    </cfRule>
  </conditionalFormatting>
  <conditionalFormatting sqref="S33">
    <cfRule type="expression" dxfId="5" priority="94">
      <formula>$S$34&gt;0</formula>
    </cfRule>
  </conditionalFormatting>
  <conditionalFormatting sqref="S34">
    <cfRule type="expression" dxfId="4" priority="93">
      <formula>$S$34&gt;0</formula>
    </cfRule>
  </conditionalFormatting>
  <conditionalFormatting sqref="S35">
    <cfRule type="expression" dxfId="3" priority="92">
      <formula>$S$36&gt;0</formula>
    </cfRule>
  </conditionalFormatting>
  <conditionalFormatting sqref="S36">
    <cfRule type="expression" dxfId="2" priority="91">
      <formula>$S$36&gt;0</formula>
    </cfRule>
  </conditionalFormatting>
  <conditionalFormatting sqref="S37">
    <cfRule type="expression" dxfId="1" priority="90">
      <formula>$S$38&gt;0</formula>
    </cfRule>
  </conditionalFormatting>
  <conditionalFormatting sqref="S38">
    <cfRule type="expression" dxfId="0" priority="89">
      <formula>$S$38&gt;0</formula>
    </cfRule>
  </conditionalFormatting>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1031" r:id="rId4" name="SpinButton4">
          <controlPr autoLine="0" linkedCell="J15" r:id="rId5">
            <anchor moveWithCells="1">
              <from>
                <xdr:col>15</xdr:col>
                <xdr:colOff>190500</xdr:colOff>
                <xdr:row>55</xdr:row>
                <xdr:rowOff>9525</xdr:rowOff>
              </from>
              <to>
                <xdr:col>15</xdr:col>
                <xdr:colOff>571500</xdr:colOff>
                <xdr:row>58</xdr:row>
                <xdr:rowOff>47625</xdr:rowOff>
              </to>
            </anchor>
          </controlPr>
        </control>
      </mc:Choice>
      <mc:Fallback>
        <control shapeId="1031" r:id="rId4" name="SpinButton4"/>
      </mc:Fallback>
    </mc:AlternateContent>
    <mc:AlternateContent xmlns:mc="http://schemas.openxmlformats.org/markup-compatibility/2006">
      <mc:Choice Requires="x14">
        <control shapeId="1030" r:id="rId6" name="SpinButton3">
          <controlPr autoLine="0" linkedCell="H15" r:id="rId5">
            <anchor moveWithCells="1">
              <from>
                <xdr:col>11</xdr:col>
                <xdr:colOff>190500</xdr:colOff>
                <xdr:row>55</xdr:row>
                <xdr:rowOff>9525</xdr:rowOff>
              </from>
              <to>
                <xdr:col>11</xdr:col>
                <xdr:colOff>571500</xdr:colOff>
                <xdr:row>58</xdr:row>
                <xdr:rowOff>47625</xdr:rowOff>
              </to>
            </anchor>
          </controlPr>
        </control>
      </mc:Choice>
      <mc:Fallback>
        <control shapeId="1030" r:id="rId6" name="SpinButton3"/>
      </mc:Fallback>
    </mc:AlternateContent>
    <mc:AlternateContent xmlns:mc="http://schemas.openxmlformats.org/markup-compatibility/2006">
      <mc:Choice Requires="x14">
        <control shapeId="1029" r:id="rId7" name="SpinButton1">
          <controlPr autoLine="0" linkedCell="L15" r:id="rId5">
            <anchor moveWithCells="1">
              <from>
                <xdr:col>6</xdr:col>
                <xdr:colOff>190500</xdr:colOff>
                <xdr:row>55</xdr:row>
                <xdr:rowOff>9525</xdr:rowOff>
              </from>
              <to>
                <xdr:col>6</xdr:col>
                <xdr:colOff>571500</xdr:colOff>
                <xdr:row>58</xdr:row>
                <xdr:rowOff>47625</xdr:rowOff>
              </to>
            </anchor>
          </controlPr>
        </control>
      </mc:Choice>
      <mc:Fallback>
        <control shapeId="1029" r:id="rId7" name="SpinButton1"/>
      </mc:Fallback>
    </mc:AlternateContent>
    <mc:AlternateContent xmlns:mc="http://schemas.openxmlformats.org/markup-compatibility/2006">
      <mc:Choice Requires="x14">
        <control shapeId="1028" r:id="rId8" name="SpinButton2">
          <controlPr autoLine="0" linkedCell="F15" r:id="rId5">
            <anchor moveWithCells="1">
              <from>
                <xdr:col>2</xdr:col>
                <xdr:colOff>190500</xdr:colOff>
                <xdr:row>55</xdr:row>
                <xdr:rowOff>9525</xdr:rowOff>
              </from>
              <to>
                <xdr:col>2</xdr:col>
                <xdr:colOff>571500</xdr:colOff>
                <xdr:row>58</xdr:row>
                <xdr:rowOff>47625</xdr:rowOff>
              </to>
            </anchor>
          </controlPr>
        </control>
      </mc:Choice>
      <mc:Fallback>
        <control shapeId="1028" r:id="rId8" name="SpinButton2"/>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XRD PROBING DEPTH</vt:lpstr>
    </vt:vector>
  </TitlesOfParts>
  <Company>HZB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Gunder, Rene</dc:creator>
  <cp:lastModifiedBy>Schwiddessen, Rene</cp:lastModifiedBy>
  <dcterms:created xsi:type="dcterms:W3CDTF">2016-06-06T13:21:14Z</dcterms:created>
  <dcterms:modified xsi:type="dcterms:W3CDTF">2026-01-19T09:48:37Z</dcterms:modified>
</cp:coreProperties>
</file>